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B23F67DB-DFF3-461F-94C9-C70D36F664B7}" xr6:coauthVersionLast="45" xr6:coauthVersionMax="45" xr10:uidLastSave="{00000000-0000-0000-0000-000000000000}"/>
  <bookViews>
    <workbookView xWindow="-120" yWindow="-120" windowWidth="19440" windowHeight="14190" firstSheet="1" activeTab="2" xr2:uid="{9757237B-3B8A-4F20-9D91-2BAE23DBC56C}"/>
  </bookViews>
  <sheets>
    <sheet name="THE HOME DEPOT FINANCIALS" sheetId="1" r:id="rId1"/>
    <sheet name="THE HOME DEPOT PROFORMA" sheetId="3" r:id="rId2"/>
    <sheet name="LOWE'S PROFORMA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4" l="1"/>
  <c r="H117" i="4"/>
  <c r="H96" i="4"/>
  <c r="H114" i="4"/>
  <c r="H98" i="4"/>
  <c r="H95" i="4"/>
  <c r="H82" i="4"/>
  <c r="F80" i="4"/>
  <c r="G80" i="4"/>
  <c r="H80" i="4"/>
  <c r="H105" i="4" l="1"/>
  <c r="H106" i="4"/>
  <c r="H103" i="4"/>
  <c r="H104" i="4"/>
  <c r="H100" i="4"/>
  <c r="H97" i="4"/>
  <c r="H89" i="4"/>
  <c r="H85" i="4"/>
  <c r="H86" i="4"/>
  <c r="H87" i="4"/>
  <c r="H81" i="4"/>
  <c r="G117" i="4"/>
  <c r="F117" i="4"/>
  <c r="F116" i="4"/>
  <c r="G116" i="4" s="1"/>
  <c r="H116" i="4" s="1"/>
  <c r="G115" i="4"/>
  <c r="H115" i="4" s="1"/>
  <c r="F115" i="4"/>
  <c r="F114" i="4"/>
  <c r="G114" i="4" s="1"/>
  <c r="F110" i="4"/>
  <c r="G110" i="4" s="1"/>
  <c r="H110" i="4" s="1"/>
  <c r="G106" i="4"/>
  <c r="F106" i="4"/>
  <c r="F105" i="4"/>
  <c r="G105" i="4" s="1"/>
  <c r="G104" i="4"/>
  <c r="F104" i="4"/>
  <c r="F103" i="4"/>
  <c r="G103" i="4" s="1"/>
  <c r="G101" i="4"/>
  <c r="H101" i="4" s="1"/>
  <c r="F101" i="4"/>
  <c r="F100" i="4"/>
  <c r="G100" i="4" s="1"/>
  <c r="G99" i="4"/>
  <c r="H99" i="4" s="1"/>
  <c r="F99" i="4"/>
  <c r="F98" i="4"/>
  <c r="G98" i="4" s="1"/>
  <c r="G97" i="4"/>
  <c r="F97" i="4"/>
  <c r="F96" i="4"/>
  <c r="G96" i="4" s="1"/>
  <c r="G95" i="4"/>
  <c r="F95" i="4"/>
  <c r="G90" i="4"/>
  <c r="H90" i="4" s="1"/>
  <c r="F90" i="4"/>
  <c r="F89" i="4"/>
  <c r="G89" i="4" s="1"/>
  <c r="G88" i="4"/>
  <c r="H88" i="4" s="1"/>
  <c r="F88" i="4"/>
  <c r="F87" i="4"/>
  <c r="G87" i="4" s="1"/>
  <c r="G86" i="4"/>
  <c r="F86" i="4"/>
  <c r="F85" i="4"/>
  <c r="G85" i="4" s="1"/>
  <c r="F83" i="4"/>
  <c r="G83" i="4" s="1"/>
  <c r="F82" i="4"/>
  <c r="G82" i="4" s="1"/>
  <c r="F81" i="4"/>
  <c r="G81" i="4" s="1"/>
  <c r="F84" i="4"/>
  <c r="I84" i="4"/>
  <c r="F102" i="4"/>
  <c r="F107" i="4"/>
  <c r="F118" i="4"/>
  <c r="F119" i="4"/>
  <c r="H69" i="4"/>
  <c r="H68" i="4"/>
  <c r="H67" i="4"/>
  <c r="H66" i="4"/>
  <c r="H65" i="4"/>
  <c r="H58" i="4"/>
  <c r="H59" i="4"/>
  <c r="H60" i="4"/>
  <c r="H61" i="4"/>
  <c r="H62" i="4"/>
  <c r="H63" i="4"/>
  <c r="H57" i="4"/>
  <c r="H49" i="4"/>
  <c r="H50" i="4"/>
  <c r="H51" i="4"/>
  <c r="H52" i="4"/>
  <c r="H53" i="4"/>
  <c r="H48" i="4"/>
  <c r="H33" i="4"/>
  <c r="H34" i="4"/>
  <c r="H45" i="4" s="1"/>
  <c r="H35" i="4"/>
  <c r="H36" i="4"/>
  <c r="H37" i="4"/>
  <c r="H38" i="4"/>
  <c r="H39" i="4"/>
  <c r="H40" i="4"/>
  <c r="H41" i="4"/>
  <c r="H42" i="4"/>
  <c r="H43" i="4"/>
  <c r="H44" i="4"/>
  <c r="H32" i="4"/>
  <c r="F69" i="4"/>
  <c r="G69" i="4" s="1"/>
  <c r="F68" i="4"/>
  <c r="G68" i="4" s="1"/>
  <c r="G70" i="4" s="1"/>
  <c r="F67" i="4"/>
  <c r="G67" i="4" s="1"/>
  <c r="F66" i="4"/>
  <c r="G66" i="4" s="1"/>
  <c r="F65" i="4"/>
  <c r="G65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G54" i="4" s="1"/>
  <c r="F44" i="4"/>
  <c r="G44" i="4" s="1"/>
  <c r="F43" i="4"/>
  <c r="G43" i="4" s="1"/>
  <c r="F42" i="4"/>
  <c r="G42" i="4" s="1"/>
  <c r="F41" i="4"/>
  <c r="G41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0" i="4"/>
  <c r="G30" i="4"/>
  <c r="H30" i="4"/>
  <c r="H54" i="4"/>
  <c r="F64" i="4"/>
  <c r="H70" i="4"/>
  <c r="H22" i="4"/>
  <c r="H21" i="4"/>
  <c r="H20" i="4"/>
  <c r="H17" i="4"/>
  <c r="H15" i="4"/>
  <c r="H14" i="4"/>
  <c r="H12" i="4"/>
  <c r="H11" i="4"/>
  <c r="H8" i="4"/>
  <c r="H7" i="4"/>
  <c r="F22" i="4"/>
  <c r="G22" i="4" s="1"/>
  <c r="F21" i="4"/>
  <c r="G21" i="4" s="1"/>
  <c r="F20" i="4"/>
  <c r="G20" i="4" s="1"/>
  <c r="F17" i="4"/>
  <c r="G17" i="4" s="1"/>
  <c r="F15" i="4"/>
  <c r="G15" i="4" s="1"/>
  <c r="F14" i="4"/>
  <c r="G14" i="4" s="1"/>
  <c r="F12" i="4"/>
  <c r="G12" i="4" s="1"/>
  <c r="F11" i="4"/>
  <c r="G11" i="4" s="1"/>
  <c r="F8" i="4"/>
  <c r="G7" i="4"/>
  <c r="F7" i="4"/>
  <c r="F9" i="4" s="1"/>
  <c r="G9" i="4"/>
  <c r="H9" i="4"/>
  <c r="D118" i="4"/>
  <c r="D119" i="4" s="1"/>
  <c r="E118" i="4"/>
  <c r="E119" i="4" s="1"/>
  <c r="E107" i="4"/>
  <c r="D107" i="4"/>
  <c r="D102" i="4"/>
  <c r="E102" i="4"/>
  <c r="D91" i="4"/>
  <c r="E80" i="4"/>
  <c r="D80" i="4"/>
  <c r="C64" i="4"/>
  <c r="D70" i="4"/>
  <c r="C70" i="4"/>
  <c r="D64" i="4"/>
  <c r="E70" i="4"/>
  <c r="E64" i="4"/>
  <c r="E45" i="4"/>
  <c r="C30" i="4"/>
  <c r="D30" i="4"/>
  <c r="E30" i="4"/>
  <c r="D84" i="4"/>
  <c r="H11" i="3"/>
  <c r="H10" i="3"/>
  <c r="H34" i="3"/>
  <c r="H41" i="3"/>
  <c r="H16" i="3"/>
  <c r="H27" i="3"/>
  <c r="H40" i="3"/>
  <c r="H9" i="3"/>
  <c r="H33" i="3"/>
  <c r="H32" i="3"/>
  <c r="H31" i="3"/>
  <c r="H29" i="3"/>
  <c r="H28" i="3"/>
  <c r="H25" i="3"/>
  <c r="H24" i="3"/>
  <c r="H22" i="3"/>
  <c r="H21" i="3"/>
  <c r="H38" i="3"/>
  <c r="H39" i="3"/>
  <c r="F42" i="3"/>
  <c r="G42" i="3"/>
  <c r="G43" i="3" s="1"/>
  <c r="F43" i="3"/>
  <c r="F41" i="3"/>
  <c r="G41" i="3"/>
  <c r="F38" i="3"/>
  <c r="G38" i="3"/>
  <c r="F39" i="3"/>
  <c r="G39" i="3"/>
  <c r="F40" i="3"/>
  <c r="G40" i="3"/>
  <c r="F37" i="3"/>
  <c r="G37" i="3" s="1"/>
  <c r="F35" i="3"/>
  <c r="G35" i="3"/>
  <c r="F32" i="3"/>
  <c r="G32" i="3"/>
  <c r="F33" i="3"/>
  <c r="G33" i="3"/>
  <c r="F34" i="3"/>
  <c r="G34" i="3"/>
  <c r="F31" i="3"/>
  <c r="G31" i="3" s="1"/>
  <c r="F30" i="3"/>
  <c r="G30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21" i="3"/>
  <c r="G21" i="3" s="1"/>
  <c r="F17" i="3"/>
  <c r="G17" i="3"/>
  <c r="F14" i="3"/>
  <c r="G14" i="3"/>
  <c r="F15" i="3"/>
  <c r="G15" i="3"/>
  <c r="F16" i="3"/>
  <c r="G16" i="3"/>
  <c r="F13" i="3"/>
  <c r="G13" i="3" s="1"/>
  <c r="G10" i="3"/>
  <c r="G9" i="3"/>
  <c r="G12" i="3"/>
  <c r="G11" i="3"/>
  <c r="F12" i="3"/>
  <c r="F10" i="3"/>
  <c r="F11" i="3"/>
  <c r="F9" i="3"/>
  <c r="G8" i="3"/>
  <c r="H8" i="3"/>
  <c r="E54" i="4"/>
  <c r="D54" i="4"/>
  <c r="C54" i="4"/>
  <c r="D45" i="4"/>
  <c r="C45" i="4"/>
  <c r="E9" i="4"/>
  <c r="E13" i="4" s="1"/>
  <c r="E16" i="4" s="1"/>
  <c r="E18" i="4" s="1"/>
  <c r="D9" i="4"/>
  <c r="D13" i="4" s="1"/>
  <c r="D16" i="4" s="1"/>
  <c r="D18" i="4" s="1"/>
  <c r="C9" i="4"/>
  <c r="C13" i="4" s="1"/>
  <c r="C16" i="4" s="1"/>
  <c r="C18" i="4" s="1"/>
  <c r="C118" i="4"/>
  <c r="C107" i="4"/>
  <c r="C119" i="4" s="1"/>
  <c r="E84" i="4"/>
  <c r="E91" i="4" s="1"/>
  <c r="H102" i="4" l="1"/>
  <c r="H107" i="4" s="1"/>
  <c r="G118" i="4"/>
  <c r="H118" i="4"/>
  <c r="G102" i="4"/>
  <c r="G107" i="4" s="1"/>
  <c r="F91" i="4"/>
  <c r="H84" i="4"/>
  <c r="H91" i="4" s="1"/>
  <c r="G84" i="4"/>
  <c r="G91" i="4" s="1"/>
  <c r="H64" i="4"/>
  <c r="F70" i="4"/>
  <c r="G64" i="4"/>
  <c r="F54" i="4"/>
  <c r="F45" i="4"/>
  <c r="G45" i="4"/>
  <c r="H13" i="4"/>
  <c r="H16" i="4" s="1"/>
  <c r="H18" i="4" s="1"/>
  <c r="G13" i="4"/>
  <c r="G16" i="4" s="1"/>
  <c r="G18" i="4" s="1"/>
  <c r="F13" i="4"/>
  <c r="F16" i="4" s="1"/>
  <c r="F18" i="4" s="1"/>
  <c r="H42" i="3"/>
  <c r="F134" i="3"/>
  <c r="G134" i="3" s="1"/>
  <c r="H134" i="3" s="1"/>
  <c r="F133" i="3"/>
  <c r="G133" i="3" s="1"/>
  <c r="H133" i="3" s="1"/>
  <c r="F132" i="3"/>
  <c r="G132" i="3" s="1"/>
  <c r="H132" i="3" s="1"/>
  <c r="E130" i="3"/>
  <c r="E8" i="3" s="1"/>
  <c r="E12" i="3" s="1"/>
  <c r="E17" i="3" s="1"/>
  <c r="H13" i="3"/>
  <c r="H15" i="3"/>
  <c r="H23" i="3"/>
  <c r="H37" i="3"/>
  <c r="F85" i="3"/>
  <c r="G85" i="3" s="1"/>
  <c r="H85" i="3" s="1"/>
  <c r="F84" i="3"/>
  <c r="G84" i="3" s="1"/>
  <c r="H84" i="3" s="1"/>
  <c r="F83" i="3"/>
  <c r="G83" i="3" s="1"/>
  <c r="H83" i="3" s="1"/>
  <c r="F51" i="3"/>
  <c r="H54" i="3"/>
  <c r="G51" i="3"/>
  <c r="H51" i="3" s="1"/>
  <c r="F52" i="3"/>
  <c r="G52" i="3" s="1"/>
  <c r="H52" i="3" s="1"/>
  <c r="F55" i="3"/>
  <c r="G55" i="3" s="1"/>
  <c r="F56" i="3"/>
  <c r="G56" i="3" s="1"/>
  <c r="H56" i="3" s="1"/>
  <c r="F57" i="3"/>
  <c r="G57" i="3" s="1"/>
  <c r="H57" i="3" s="1"/>
  <c r="F61" i="3"/>
  <c r="G61" i="3" s="1"/>
  <c r="H61" i="3" s="1"/>
  <c r="F62" i="3"/>
  <c r="G62" i="3" s="1"/>
  <c r="H62" i="3" s="1"/>
  <c r="F63" i="3"/>
  <c r="G63" i="3" s="1"/>
  <c r="H63" i="3" s="1"/>
  <c r="F66" i="3"/>
  <c r="G66" i="3" s="1"/>
  <c r="H66" i="3" s="1"/>
  <c r="F69" i="3"/>
  <c r="G69" i="3" s="1"/>
  <c r="H69" i="3" s="1"/>
  <c r="F70" i="3"/>
  <c r="G70" i="3" s="1"/>
  <c r="H70" i="3" s="1"/>
  <c r="F72" i="3"/>
  <c r="G72" i="3" s="1"/>
  <c r="H72" i="3" s="1"/>
  <c r="F73" i="3"/>
  <c r="G73" i="3" s="1"/>
  <c r="H73" i="3" s="1"/>
  <c r="F98" i="3"/>
  <c r="G98" i="3" s="1"/>
  <c r="H98" i="3" s="1"/>
  <c r="F99" i="3"/>
  <c r="G99" i="3" s="1"/>
  <c r="H99" i="3" s="1"/>
  <c r="F100" i="3"/>
  <c r="G100" i="3" s="1"/>
  <c r="H100" i="3" s="1"/>
  <c r="F101" i="3"/>
  <c r="G101" i="3" s="1"/>
  <c r="H101" i="3" s="1"/>
  <c r="F102" i="3"/>
  <c r="G102" i="3" s="1"/>
  <c r="H102" i="3" s="1"/>
  <c r="F103" i="3"/>
  <c r="G103" i="3" s="1"/>
  <c r="H103" i="3" s="1"/>
  <c r="F104" i="3"/>
  <c r="G104" i="3" s="1"/>
  <c r="H104" i="3" s="1"/>
  <c r="F105" i="3"/>
  <c r="G105" i="3" s="1"/>
  <c r="H105" i="3" s="1"/>
  <c r="F106" i="3"/>
  <c r="G106" i="3" s="1"/>
  <c r="H106" i="3" s="1"/>
  <c r="F107" i="3"/>
  <c r="G107" i="3" s="1"/>
  <c r="H107" i="3" s="1"/>
  <c r="F108" i="3"/>
  <c r="G108" i="3" s="1"/>
  <c r="H108" i="3" s="1"/>
  <c r="F112" i="3"/>
  <c r="G112" i="3" s="1"/>
  <c r="F113" i="3"/>
  <c r="G113" i="3" s="1"/>
  <c r="H113" i="3" s="1"/>
  <c r="F114" i="3"/>
  <c r="G114" i="3" s="1"/>
  <c r="H114" i="3" s="1"/>
  <c r="F115" i="3"/>
  <c r="G115" i="3" s="1"/>
  <c r="H115" i="3" s="1"/>
  <c r="F119" i="3"/>
  <c r="G119" i="3" s="1"/>
  <c r="F120" i="3"/>
  <c r="G120" i="3" s="1"/>
  <c r="H120" i="3" s="1"/>
  <c r="F121" i="3"/>
  <c r="G121" i="3" s="1"/>
  <c r="H121" i="3" s="1"/>
  <c r="F122" i="3"/>
  <c r="G122" i="3" s="1"/>
  <c r="H122" i="3" s="1"/>
  <c r="F123" i="3"/>
  <c r="G123" i="3" s="1"/>
  <c r="H123" i="3" s="1"/>
  <c r="F124" i="3"/>
  <c r="G124" i="3" s="1"/>
  <c r="H124" i="3" s="1"/>
  <c r="F125" i="3"/>
  <c r="G125" i="3" s="1"/>
  <c r="H125" i="3" s="1"/>
  <c r="F127" i="3"/>
  <c r="G127" i="3" s="1"/>
  <c r="H127" i="3" s="1"/>
  <c r="F128" i="3"/>
  <c r="G128" i="3" s="1"/>
  <c r="H128" i="3" s="1"/>
  <c r="F129" i="3"/>
  <c r="G129" i="3" s="1"/>
  <c r="H129" i="3" s="1"/>
  <c r="D130" i="3"/>
  <c r="D8" i="3" s="1"/>
  <c r="C130" i="3"/>
  <c r="E126" i="3"/>
  <c r="D126" i="3"/>
  <c r="C126" i="3"/>
  <c r="E116" i="3"/>
  <c r="D116" i="3"/>
  <c r="C116" i="3"/>
  <c r="E86" i="3"/>
  <c r="D86" i="3"/>
  <c r="C86" i="3"/>
  <c r="E64" i="3"/>
  <c r="D64" i="3"/>
  <c r="C64" i="3"/>
  <c r="E58" i="3"/>
  <c r="D58" i="3"/>
  <c r="C58" i="3"/>
  <c r="E53" i="3"/>
  <c r="D53" i="3"/>
  <c r="C53" i="3"/>
  <c r="E42" i="3"/>
  <c r="D42" i="3"/>
  <c r="E30" i="3"/>
  <c r="E35" i="3" s="1"/>
  <c r="E43" i="3" s="1"/>
  <c r="D30" i="3"/>
  <c r="D35" i="3" s="1"/>
  <c r="D43" i="3" s="1"/>
  <c r="D12" i="3"/>
  <c r="D17" i="3" s="1"/>
  <c r="E168" i="1"/>
  <c r="D168" i="1"/>
  <c r="D164" i="1"/>
  <c r="C168" i="1"/>
  <c r="C164" i="1"/>
  <c r="E154" i="1"/>
  <c r="D154" i="1"/>
  <c r="C154" i="1"/>
  <c r="E147" i="1"/>
  <c r="D147" i="1"/>
  <c r="C147" i="1"/>
  <c r="E124" i="1"/>
  <c r="D124" i="1"/>
  <c r="C124" i="1"/>
  <c r="E119" i="1"/>
  <c r="D119" i="1"/>
  <c r="C119" i="1"/>
  <c r="C111" i="1"/>
  <c r="E111" i="1"/>
  <c r="D111" i="1"/>
  <c r="E103" i="1"/>
  <c r="D103" i="1"/>
  <c r="C103" i="1"/>
  <c r="E97" i="1"/>
  <c r="D97" i="1"/>
  <c r="C97" i="1"/>
  <c r="E86" i="1"/>
  <c r="D86" i="1"/>
  <c r="C86" i="1"/>
  <c r="E64" i="1"/>
  <c r="D64" i="1"/>
  <c r="E58" i="1"/>
  <c r="D58" i="1"/>
  <c r="E53" i="1"/>
  <c r="E59" i="1" s="1"/>
  <c r="E65" i="1" s="1"/>
  <c r="E67" i="1" s="1"/>
  <c r="E81" i="1" s="1"/>
  <c r="D53" i="1"/>
  <c r="C64" i="1"/>
  <c r="C58" i="1"/>
  <c r="C53" i="1"/>
  <c r="C42" i="1"/>
  <c r="D42" i="1"/>
  <c r="C30" i="1"/>
  <c r="C35" i="1" s="1"/>
  <c r="C43" i="1" s="1"/>
  <c r="D30" i="1"/>
  <c r="D35" i="1" s="1"/>
  <c r="D43" i="1" s="1"/>
  <c r="D12" i="1"/>
  <c r="D17" i="1" s="1"/>
  <c r="C12" i="1"/>
  <c r="C17" i="1" s="1"/>
  <c r="H119" i="4" l="1"/>
  <c r="G119" i="4"/>
  <c r="H130" i="3"/>
  <c r="G126" i="3"/>
  <c r="G116" i="3"/>
  <c r="H112" i="3"/>
  <c r="H116" i="3" s="1"/>
  <c r="F116" i="3"/>
  <c r="F126" i="3"/>
  <c r="H119" i="3"/>
  <c r="H126" i="3" s="1"/>
  <c r="F130" i="3"/>
  <c r="F8" i="3" s="1"/>
  <c r="G130" i="3"/>
  <c r="F86" i="3"/>
  <c r="G58" i="3"/>
  <c r="H55" i="3"/>
  <c r="H58" i="3" s="1"/>
  <c r="H86" i="3"/>
  <c r="H26" i="3"/>
  <c r="H14" i="3"/>
  <c r="H64" i="3"/>
  <c r="F58" i="3"/>
  <c r="F64" i="3"/>
  <c r="G64" i="3"/>
  <c r="H53" i="3"/>
  <c r="F53" i="3"/>
  <c r="F59" i="3" s="1"/>
  <c r="G86" i="3"/>
  <c r="G53" i="3"/>
  <c r="C59" i="3"/>
  <c r="E59" i="3"/>
  <c r="E65" i="3" s="1"/>
  <c r="E67" i="3" s="1"/>
  <c r="D59" i="3"/>
  <c r="E164" i="1"/>
  <c r="D125" i="1"/>
  <c r="E125" i="1"/>
  <c r="C125" i="1"/>
  <c r="C59" i="1"/>
  <c r="C65" i="1" s="1"/>
  <c r="C67" i="1" s="1"/>
  <c r="C81" i="1" s="1"/>
  <c r="C87" i="1" s="1"/>
  <c r="E87" i="1"/>
  <c r="D59" i="1"/>
  <c r="D65" i="1" s="1"/>
  <c r="D67" i="1" s="1"/>
  <c r="D81" i="1" s="1"/>
  <c r="D87" i="1" s="1"/>
  <c r="H59" i="3" l="1"/>
  <c r="H65" i="3" s="1"/>
  <c r="H30" i="3"/>
  <c r="H35" i="3" s="1"/>
  <c r="H43" i="3" s="1"/>
  <c r="H12" i="3"/>
  <c r="H17" i="3" s="1"/>
  <c r="G59" i="3"/>
  <c r="G65" i="3" s="1"/>
  <c r="F65" i="3"/>
  <c r="F67" i="3" s="1"/>
  <c r="D65" i="3"/>
  <c r="C65" i="3"/>
  <c r="E81" i="3"/>
  <c r="E87" i="3" s="1"/>
  <c r="E96" i="3"/>
  <c r="E109" i="3" s="1"/>
  <c r="F81" i="3" l="1"/>
  <c r="F87" i="3" s="1"/>
  <c r="F96" i="3"/>
  <c r="F109" i="3" s="1"/>
  <c r="C67" i="3"/>
  <c r="D67" i="3"/>
  <c r="H67" i="3" l="1"/>
  <c r="H96" i="3" s="1"/>
  <c r="H109" i="3" s="1"/>
  <c r="G67" i="3"/>
  <c r="G96" i="3" s="1"/>
  <c r="G109" i="3" s="1"/>
  <c r="D81" i="3"/>
  <c r="D87" i="3" s="1"/>
  <c r="D96" i="3"/>
  <c r="C81" i="3"/>
  <c r="C87" i="3" s="1"/>
  <c r="C96" i="3"/>
  <c r="G81" i="3" l="1"/>
  <c r="G87" i="3" s="1"/>
  <c r="H81" i="3"/>
  <c r="H87" i="3" s="1"/>
  <c r="C109" i="3"/>
  <c r="D109" i="3"/>
</calcChain>
</file>

<file path=xl/sharedStrings.xml><?xml version="1.0" encoding="utf-8"?>
<sst xmlns="http://schemas.openxmlformats.org/spreadsheetml/2006/main" count="538" uniqueCount="196">
  <si>
    <t>Assets</t>
  </si>
  <si>
    <t>Cash and cash equivalents</t>
  </si>
  <si>
    <t>Receivables, net</t>
  </si>
  <si>
    <t>Merchandise inventories</t>
  </si>
  <si>
    <t>Other current assets</t>
  </si>
  <si>
    <t>Total current assets</t>
  </si>
  <si>
    <t>Net property and equipment</t>
  </si>
  <si>
    <t>Operating lease right-of-use assets</t>
  </si>
  <si>
    <t>Goodwill</t>
  </si>
  <si>
    <t>Other assets</t>
  </si>
  <si>
    <t>Total assets</t>
  </si>
  <si>
    <t>Liabilities and Stockholders' Equity</t>
  </si>
  <si>
    <t>Short-term debt</t>
  </si>
  <si>
    <t>Accounts payable</t>
  </si>
  <si>
    <t>Accrued salaries and related expenses</t>
  </si>
  <si>
    <t>Sales taxes payable</t>
  </si>
  <si>
    <t>Deffered revenue</t>
  </si>
  <si>
    <t>Income taxes payable</t>
  </si>
  <si>
    <t>Current installments of long-term debt</t>
  </si>
  <si>
    <t>Current operating lease liabilities</t>
  </si>
  <si>
    <t>Long-term debt, excluding current installments</t>
  </si>
  <si>
    <t>Long-term operating lease liabilities</t>
  </si>
  <si>
    <t>Deffered income taxes</t>
  </si>
  <si>
    <t>Other long-term liabilities</t>
  </si>
  <si>
    <t>Total liabilities</t>
  </si>
  <si>
    <t>Common stock par value $0.05; authorized: 10,000 shares; issued: 1,786 shares at February 2, 2020 and 1,782 shares at February 3, 2019; outstanding: 1,077 shares at February 2, 2020 and 1,105 shares at February 3, 2019</t>
  </si>
  <si>
    <t>Paid-in capital</t>
  </si>
  <si>
    <t>Retained earnings</t>
  </si>
  <si>
    <t>Total stockholders' (deficit) equity</t>
  </si>
  <si>
    <t>Total liabilities and stockholders' equity</t>
  </si>
  <si>
    <t>Current assets:</t>
  </si>
  <si>
    <t>Current liabilities:</t>
  </si>
  <si>
    <t>Accumulated other comprehensive loss</t>
  </si>
  <si>
    <t>Treasury stock, at cost, 709 shares at February 2, 2020 and 677 shares at February 3, 2019</t>
  </si>
  <si>
    <t>Other accrued expenses</t>
  </si>
  <si>
    <t>Total current liabilities</t>
  </si>
  <si>
    <t>February 3,</t>
  </si>
  <si>
    <t>February 2,</t>
  </si>
  <si>
    <t>CONSOLIDATED BALANCE SHEETS</t>
  </si>
  <si>
    <t>Fiscal</t>
  </si>
  <si>
    <t>Net Sales</t>
  </si>
  <si>
    <t>Cost of sales</t>
  </si>
  <si>
    <t>Gross profit</t>
  </si>
  <si>
    <t>Selling and general administrative</t>
  </si>
  <si>
    <t>Depreciation and amortization</t>
  </si>
  <si>
    <t>Impairment loss</t>
  </si>
  <si>
    <t>Total opearting expenses</t>
  </si>
  <si>
    <t>Operating income</t>
  </si>
  <si>
    <t>Net earnings</t>
  </si>
  <si>
    <t>Interest and other (income) expense:</t>
  </si>
  <si>
    <t>Interest and investment income</t>
  </si>
  <si>
    <t>Interest expense</t>
  </si>
  <si>
    <t>Other</t>
  </si>
  <si>
    <t>Interest and other, net</t>
  </si>
  <si>
    <t>Earnings before provision for income taxes</t>
  </si>
  <si>
    <t>Provision for income taxes</t>
  </si>
  <si>
    <t>Basic weighted average common shares</t>
  </si>
  <si>
    <t>Basic earnings per share</t>
  </si>
  <si>
    <t>Diluted weighted average common shares</t>
  </si>
  <si>
    <t>Diluted earnings per share</t>
  </si>
  <si>
    <t>Operating expenses:</t>
  </si>
  <si>
    <t>CONSOLIDATED STATEMENT OF EARNINGS</t>
  </si>
  <si>
    <t>CONSOLIDATED STATEMENT OF COMPREHENSIVE INCOME</t>
  </si>
  <si>
    <t>Net Earnings</t>
  </si>
  <si>
    <t>Other comprehensive income (loss)</t>
  </si>
  <si>
    <t>Foreign currency translation adjustments</t>
  </si>
  <si>
    <t>Cash flow hedges, net of tax</t>
  </si>
  <si>
    <t>Total other comprehensive income (loss)</t>
  </si>
  <si>
    <t>Comprehensive income</t>
  </si>
  <si>
    <t>Common Stock:</t>
  </si>
  <si>
    <t>Balance at beginning of year</t>
  </si>
  <si>
    <t>Shares issued under employee stock plans</t>
  </si>
  <si>
    <t>Balance at end of year</t>
  </si>
  <si>
    <t>Stock-based compensation expense</t>
  </si>
  <si>
    <t>Retain Earnings:</t>
  </si>
  <si>
    <t>Paid-in Capital:</t>
  </si>
  <si>
    <t>Cumulative effect of accounting changes</t>
  </si>
  <si>
    <t>Cash dividends</t>
  </si>
  <si>
    <t>Treasury Stock:</t>
  </si>
  <si>
    <t>Repurchases of common stock</t>
  </si>
  <si>
    <t>Accumulated Other Comprehensive Income (Loss):</t>
  </si>
  <si>
    <t>CONSOLIDATED STATEMENTS OF CASH FLOWS</t>
  </si>
  <si>
    <t>Cash Flows from Operating Activities:</t>
  </si>
  <si>
    <t>Reconciliation of net earnings to net cash provided by operating activities:</t>
  </si>
  <si>
    <t>Assumption</t>
  </si>
  <si>
    <t>Changes in receivables, net</t>
  </si>
  <si>
    <t>Changes in merchandise inventory</t>
  </si>
  <si>
    <t>Changes in other current assets</t>
  </si>
  <si>
    <t>Changes in accounts payable and accrued expenses</t>
  </si>
  <si>
    <t>Changes in deferred revenue</t>
  </si>
  <si>
    <t>Net cash provided by operating activities</t>
  </si>
  <si>
    <t>Changes in income taxes payable</t>
  </si>
  <si>
    <t>Changes in deffered income taxes</t>
  </si>
  <si>
    <t>Other operating activities</t>
  </si>
  <si>
    <t>Cash Flows from Investing Activities:</t>
  </si>
  <si>
    <t>Capital expenditures</t>
  </si>
  <si>
    <t>Payments for business acquired, net</t>
  </si>
  <si>
    <t>Proceeds from sales of property and equipment</t>
  </si>
  <si>
    <t>Other investing activities</t>
  </si>
  <si>
    <t>Net cash used in investing activities</t>
  </si>
  <si>
    <t>Cash Flows from Financing Activties:</t>
  </si>
  <si>
    <t>(Repayments of) proceeds from short-term debt, net</t>
  </si>
  <si>
    <t>Proceeds from long-term debt, net of discounts and premiums</t>
  </si>
  <si>
    <t>Repayments of long-term debt</t>
  </si>
  <si>
    <t>Other financing activties</t>
  </si>
  <si>
    <t>Net cash used in financing activties</t>
  </si>
  <si>
    <t>Change in cahs and cash equivalents</t>
  </si>
  <si>
    <t>Effect of exchange rate changes on cash and cash equivalents</t>
  </si>
  <si>
    <t>Cash and cash equivalents at beginning of year</t>
  </si>
  <si>
    <t>Cash and cash equivalents at end of year</t>
  </si>
  <si>
    <t>Supplemental Disclosures:</t>
  </si>
  <si>
    <t>Cash paid for income taxes</t>
  </si>
  <si>
    <t>Cash paid for interest, net of interest capitalized</t>
  </si>
  <si>
    <t>Non-cash capital expenditures</t>
  </si>
  <si>
    <t>CONSOLIDATED STATEMENT OF STOCHOLDERS' EQUITY</t>
  </si>
  <si>
    <t>3-YR MOVING AV.</t>
  </si>
  <si>
    <t>3-YR MOVING AV. (2020)</t>
  </si>
  <si>
    <t>3-YR MOVING AV. (2021)</t>
  </si>
  <si>
    <t>Proforma</t>
  </si>
  <si>
    <t>3-YR MOV AV. + 20%</t>
  </si>
  <si>
    <t>3-YR MOV AV. + 5%</t>
  </si>
  <si>
    <t>3-YR MOV AV.</t>
  </si>
  <si>
    <t>3-YR MOV AV. - 5%</t>
  </si>
  <si>
    <t>3-YR MOV AV. - 10%</t>
  </si>
  <si>
    <t>3-YR MOV AV. - 15%</t>
  </si>
  <si>
    <t>3-YR MOV AV. - 20%</t>
  </si>
  <si>
    <t>2-YR MOVING AV.</t>
  </si>
  <si>
    <t>3-YR MOV AV. + 15%</t>
  </si>
  <si>
    <t xml:space="preserve">3-YR MOV AV. </t>
  </si>
  <si>
    <t>Merchandise inventory - net</t>
  </si>
  <si>
    <t>Short-term investments</t>
  </si>
  <si>
    <t>Property, less accumulated depreciation</t>
  </si>
  <si>
    <t>Long-term investments</t>
  </si>
  <si>
    <t>Deferred income taxes - net</t>
  </si>
  <si>
    <t>Short-term borrowings</t>
  </si>
  <si>
    <t>Current maturities of long-term debt</t>
  </si>
  <si>
    <t>Proceeds from sales of common stock</t>
  </si>
  <si>
    <t>(from the cash flow stmt)</t>
  </si>
  <si>
    <t>3-YR MOV AV. + 25%</t>
  </si>
  <si>
    <t>3-YR MOV AV. + 30%</t>
  </si>
  <si>
    <t>3-YR MOV AV. +30%</t>
  </si>
  <si>
    <t>3-YR MOV AV. + 32%</t>
  </si>
  <si>
    <t>3-YR MOV AV. + 9.4%</t>
  </si>
  <si>
    <t>Other accrued liabiilities</t>
  </si>
  <si>
    <t>Long-term debt, excluding current maturities</t>
  </si>
  <si>
    <t>Noncurrent operating lease liabilities</t>
  </si>
  <si>
    <t>Deffered revenue - extended protection plans</t>
  </si>
  <si>
    <t>Other liabilities</t>
  </si>
  <si>
    <t>Commitment and contingencies</t>
  </si>
  <si>
    <t>Shareholders' equity:</t>
  </si>
  <si>
    <t>Preffered stock - $5 par value</t>
  </si>
  <si>
    <t>Common stock - $0.50 par value</t>
  </si>
  <si>
    <t>Shares issued and outstanding</t>
  </si>
  <si>
    <t>Capital in excess of par value</t>
  </si>
  <si>
    <t>Current Earnings</t>
  </si>
  <si>
    <t>Interest, net</t>
  </si>
  <si>
    <t>Loss on extinguishment of debt</t>
  </si>
  <si>
    <t>Pre-tax Earnings</t>
  </si>
  <si>
    <t>Income tax provision</t>
  </si>
  <si>
    <t>Basic earnings per common share</t>
  </si>
  <si>
    <t>Diluted earnings per common share</t>
  </si>
  <si>
    <t>Cash dividends per share</t>
  </si>
  <si>
    <t>Adjustments to reconcile net earnings to net cash provided by operating activities:</t>
  </si>
  <si>
    <t>Noncash lease expense</t>
  </si>
  <si>
    <t>Deferred income taxes</t>
  </si>
  <si>
    <t>Loss on property and other assets, net</t>
  </si>
  <si>
    <t>Impairment of goodwill</t>
  </si>
  <si>
    <t>Loss (gain) on cost method and equity method investments</t>
  </si>
  <si>
    <t>Changes in operating assets and liabilities:</t>
  </si>
  <si>
    <t>Other operating expenses</t>
  </si>
  <si>
    <t>Other operating liabilities</t>
  </si>
  <si>
    <t>Proceeds from sales/maturity of investments</t>
  </si>
  <si>
    <t>Purchase of investments</t>
  </si>
  <si>
    <t>Proceeds from sales of property and other long-term assets</t>
  </si>
  <si>
    <t>Other - net</t>
  </si>
  <si>
    <t>acquisition of business - net</t>
  </si>
  <si>
    <t>Net change in commercial paper</t>
  </si>
  <si>
    <t>Net proceeds from issuance of debt</t>
  </si>
  <si>
    <t>Proceeds from issuance of common stock under share-based payment plans</t>
  </si>
  <si>
    <t>Cash dividend payments</t>
  </si>
  <si>
    <t>Repurchase of common stock</t>
  </si>
  <si>
    <t>Effect of exchange rate on cash and cash equivalents</t>
  </si>
  <si>
    <t>Net increase (decrease) in cash and cash equivalents, including cash classified within current assets held for sale</t>
  </si>
  <si>
    <t>Net Increase (decrease) in cash and cash equivalents</t>
  </si>
  <si>
    <t>Cash and Cash equivalents, beginning of year</t>
  </si>
  <si>
    <t>Cash and Cash equivalents, end of year</t>
  </si>
  <si>
    <r>
      <rPr>
        <i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>: Net increase (decrease) in cash classified within current assets held for sale</t>
    </r>
  </si>
  <si>
    <t>Expenses:</t>
  </si>
  <si>
    <t>Share-based payment expense</t>
  </si>
  <si>
    <t>3YR MOV. AV. + 10%</t>
  </si>
  <si>
    <t>(from cash flow statement)</t>
  </si>
  <si>
    <t>3YR MOV. AV. - 5%</t>
  </si>
  <si>
    <t>3YR MOV. AV.</t>
  </si>
  <si>
    <t>3YR MOV. AV. + 5%</t>
  </si>
  <si>
    <t>3YR MOV. AV. - 7%</t>
  </si>
  <si>
    <t>3YR MOV. AV. + 19.1%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</si>
</sst>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mmmm\ d\,\ yyyy;@"/>
    <numFmt numFmtId="165" formatCode="_([$$-409]* #,##0.00_);_([$$-409]* \(#,##0.00\);_([$$-409]* &quot;-&quot;??_);_(@_)"/>
    <numFmt numFmtId="166" formatCode="_([$$-409]* #,##0_);_([$$-409]* \(#,##0\);_([$$-409]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wrapText="1"/>
    </xf>
    <xf numFmtId="166" fontId="0" fillId="0" borderId="0" xfId="0" applyNumberFormat="1" applyBorder="1"/>
    <xf numFmtId="166" fontId="0" fillId="0" borderId="6" xfId="0" applyNumberFormat="1" applyBorder="1"/>
    <xf numFmtId="0" fontId="0" fillId="0" borderId="5" xfId="0" applyBorder="1" applyAlignment="1">
      <alignment horizontal="left" wrapText="1" indent="1"/>
    </xf>
    <xf numFmtId="0" fontId="0" fillId="0" borderId="5" xfId="0" applyBorder="1" applyAlignment="1">
      <alignment horizontal="left" wrapText="1" indent="2"/>
    </xf>
    <xf numFmtId="0" fontId="0" fillId="0" borderId="5" xfId="0" applyBorder="1" applyAlignment="1">
      <alignment horizontal="left" wrapText="1" indent="3"/>
    </xf>
    <xf numFmtId="0" fontId="0" fillId="0" borderId="8" xfId="0" applyBorder="1"/>
    <xf numFmtId="0" fontId="0" fillId="0" borderId="9" xfId="0" applyBorder="1"/>
    <xf numFmtId="166" fontId="0" fillId="0" borderId="11" xfId="0" applyNumberFormat="1" applyBorder="1"/>
    <xf numFmtId="166" fontId="0" fillId="0" borderId="10" xfId="0" applyNumberFormat="1" applyBorder="1"/>
    <xf numFmtId="166" fontId="0" fillId="0" borderId="13" xfId="0" applyNumberFormat="1" applyBorder="1"/>
    <xf numFmtId="166" fontId="0" fillId="0" borderId="12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44" fontId="0" fillId="0" borderId="0" xfId="0" applyNumberFormat="1" applyBorder="1"/>
    <xf numFmtId="44" fontId="0" fillId="0" borderId="6" xfId="0" applyNumberFormat="1" applyBorder="1"/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wrapText="1"/>
    </xf>
    <xf numFmtId="164" fontId="0" fillId="0" borderId="3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0" fillId="0" borderId="5" xfId="0" applyBorder="1" applyAlignment="1">
      <alignment horizontal="left" wrapText="1" indent="4"/>
    </xf>
    <xf numFmtId="0" fontId="0" fillId="0" borderId="5" xfId="0" applyBorder="1" applyAlignment="1">
      <alignment horizontal="left" wrapText="1" indent="5"/>
    </xf>
    <xf numFmtId="44" fontId="0" fillId="0" borderId="13" xfId="0" applyNumberFormat="1" applyBorder="1"/>
    <xf numFmtId="167" fontId="0" fillId="0" borderId="0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167" fontId="0" fillId="0" borderId="12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0" fontId="2" fillId="0" borderId="5" xfId="0" applyFont="1" applyBorder="1" applyAlignment="1">
      <alignment horizontal="left" wrapText="1"/>
    </xf>
    <xf numFmtId="165" fontId="0" fillId="0" borderId="13" xfId="0" applyNumberFormat="1" applyBorder="1"/>
    <xf numFmtId="165" fontId="0" fillId="0" borderId="12" xfId="0" applyNumberFormat="1" applyBorder="1"/>
    <xf numFmtId="0" fontId="0" fillId="0" borderId="3" xfId="0" applyBorder="1" applyAlignment="1">
      <alignment horizontal="center" wrapText="1"/>
    </xf>
    <xf numFmtId="164" fontId="0" fillId="2" borderId="14" xfId="0" applyNumberFormat="1" applyFill="1" applyBorder="1" applyAlignment="1">
      <alignment horizontal="center" wrapText="1"/>
    </xf>
    <xf numFmtId="167" fontId="0" fillId="2" borderId="15" xfId="1" applyNumberFormat="1" applyFont="1" applyFill="1" applyBorder="1"/>
    <xf numFmtId="44" fontId="0" fillId="2" borderId="1" xfId="0" applyNumberFormat="1" applyFill="1" applyBorder="1"/>
    <xf numFmtId="0" fontId="0" fillId="2" borderId="16" xfId="0" applyFill="1" applyBorder="1"/>
    <xf numFmtId="166" fontId="0" fillId="2" borderId="1" xfId="0" applyNumberFormat="1" applyFill="1" applyBorder="1"/>
    <xf numFmtId="166" fontId="0" fillId="2" borderId="15" xfId="0" applyNumberFormat="1" applyFill="1" applyBorder="1"/>
    <xf numFmtId="166" fontId="0" fillId="2" borderId="17" xfId="0" applyNumberFormat="1" applyFill="1" applyBorder="1"/>
    <xf numFmtId="0" fontId="0" fillId="2" borderId="16" xfId="0" applyNumberForma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 wrapText="1"/>
    </xf>
    <xf numFmtId="0" fontId="0" fillId="3" borderId="9" xfId="0" applyFill="1" applyBorder="1"/>
    <xf numFmtId="167" fontId="0" fillId="3" borderId="6" xfId="1" applyNumberFormat="1" applyFont="1" applyFill="1" applyBorder="1"/>
    <xf numFmtId="0" fontId="0" fillId="3" borderId="6" xfId="0" applyFill="1" applyBorder="1"/>
    <xf numFmtId="166" fontId="0" fillId="3" borderId="6" xfId="0" applyNumberFormat="1" applyFill="1" applyBorder="1"/>
    <xf numFmtId="167" fontId="0" fillId="3" borderId="6" xfId="0" applyNumberFormat="1" applyFill="1" applyBorder="1"/>
    <xf numFmtId="166" fontId="0" fillId="3" borderId="12" xfId="0" applyNumberFormat="1" applyFill="1" applyBorder="1"/>
    <xf numFmtId="166" fontId="0" fillId="3" borderId="10" xfId="0" applyNumberFormat="1" applyFill="1" applyBorder="1"/>
    <xf numFmtId="167" fontId="0" fillId="2" borderId="15" xfId="0" applyNumberFormat="1" applyFill="1" applyBorder="1"/>
    <xf numFmtId="0" fontId="0" fillId="2" borderId="8" xfId="0" applyFill="1" applyBorder="1"/>
    <xf numFmtId="167" fontId="0" fillId="2" borderId="16" xfId="1" applyNumberFormat="1" applyFont="1" applyFill="1" applyBorder="1"/>
    <xf numFmtId="167" fontId="0" fillId="3" borderId="9" xfId="1" applyNumberFormat="1" applyFont="1" applyFill="1" applyBorder="1"/>
    <xf numFmtId="166" fontId="0" fillId="2" borderId="12" xfId="0" applyNumberFormat="1" applyFill="1" applyBorder="1"/>
    <xf numFmtId="166" fontId="0" fillId="2" borderId="10" xfId="0" applyNumberFormat="1" applyFill="1" applyBorder="1"/>
    <xf numFmtId="164" fontId="0" fillId="3" borderId="14" xfId="0" applyNumberFormat="1" applyFill="1" applyBorder="1" applyAlignment="1">
      <alignment horizontal="center" wrapText="1"/>
    </xf>
    <xf numFmtId="0" fontId="0" fillId="3" borderId="16" xfId="0" applyFill="1" applyBorder="1"/>
    <xf numFmtId="167" fontId="0" fillId="3" borderId="15" xfId="1" applyNumberFormat="1" applyFont="1" applyFill="1" applyBorder="1"/>
    <xf numFmtId="0" fontId="0" fillId="2" borderId="15" xfId="0" applyFill="1" applyBorder="1"/>
    <xf numFmtId="0" fontId="2" fillId="0" borderId="5" xfId="0" applyFont="1" applyBorder="1" applyAlignment="1">
      <alignment horizontal="left" wrapText="1" indent="2"/>
    </xf>
    <xf numFmtId="166" fontId="2" fillId="0" borderId="13" xfId="0" applyNumberFormat="1" applyFont="1" applyBorder="1"/>
    <xf numFmtId="166" fontId="2" fillId="0" borderId="12" xfId="0" applyNumberFormat="1" applyFont="1" applyBorder="1"/>
    <xf numFmtId="0" fontId="2" fillId="0" borderId="0" xfId="0" applyFont="1"/>
    <xf numFmtId="166" fontId="2" fillId="0" borderId="11" xfId="0" applyNumberFormat="1" applyFont="1" applyBorder="1"/>
    <xf numFmtId="166" fontId="2" fillId="0" borderId="10" xfId="0" applyNumberFormat="1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left" wrapText="1" indent="2"/>
    </xf>
    <xf numFmtId="0" fontId="0" fillId="0" borderId="0" xfId="0" applyBorder="1" applyAlignment="1">
      <alignment horizontal="left" wrapText="1" indent="3"/>
    </xf>
    <xf numFmtId="0" fontId="0" fillId="0" borderId="0" xfId="0" applyBorder="1" applyAlignment="1">
      <alignment horizontal="left" wrapText="1" indent="4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wrapText="1" indent="5"/>
    </xf>
    <xf numFmtId="0" fontId="0" fillId="0" borderId="8" xfId="0" applyBorder="1" applyAlignment="1">
      <alignment wrapText="1"/>
    </xf>
    <xf numFmtId="0" fontId="0" fillId="0" borderId="22" xfId="0" applyBorder="1" applyAlignment="1">
      <alignment horizontal="center" wrapText="1"/>
    </xf>
    <xf numFmtId="167" fontId="0" fillId="3" borderId="12" xfId="1" applyNumberFormat="1" applyFont="1" applyFill="1" applyBorder="1"/>
    <xf numFmtId="166" fontId="0" fillId="2" borderId="0" xfId="0" applyNumberFormat="1" applyFill="1" applyBorder="1"/>
    <xf numFmtId="166" fontId="0" fillId="3" borderId="15" xfId="0" applyNumberFormat="1" applyFill="1" applyBorder="1"/>
    <xf numFmtId="166" fontId="2" fillId="0" borderId="0" xfId="0" applyNumberFormat="1" applyFont="1" applyBorder="1"/>
    <xf numFmtId="166" fontId="2" fillId="0" borderId="6" xfId="0" applyNumberFormat="1" applyFont="1" applyBorder="1"/>
    <xf numFmtId="164" fontId="0" fillId="0" borderId="5" xfId="0" applyNumberFormat="1" applyBorder="1" applyAlignment="1">
      <alignment horizontal="left" wrapText="1" indent="1"/>
    </xf>
    <xf numFmtId="164" fontId="0" fillId="0" borderId="5" xfId="0" applyNumberFormat="1" applyBorder="1" applyAlignment="1">
      <alignment horizontal="left" wrapText="1" indent="3"/>
    </xf>
    <xf numFmtId="0" fontId="2" fillId="0" borderId="5" xfId="0" applyFont="1" applyBorder="1" applyAlignment="1">
      <alignment horizontal="left" wrapText="1" indent="1"/>
    </xf>
    <xf numFmtId="0" fontId="2" fillId="0" borderId="7" xfId="0" applyFont="1" applyBorder="1" applyAlignment="1">
      <alignment wrapText="1"/>
    </xf>
    <xf numFmtId="167" fontId="2" fillId="0" borderId="13" xfId="0" applyNumberFormat="1" applyFont="1" applyBorder="1"/>
    <xf numFmtId="167" fontId="2" fillId="0" borderId="12" xfId="0" applyNumberFormat="1" applyFont="1" applyBorder="1"/>
    <xf numFmtId="165" fontId="2" fillId="0" borderId="0" xfId="0" applyNumberFormat="1" applyFont="1" applyBorder="1"/>
    <xf numFmtId="165" fontId="2" fillId="0" borderId="6" xfId="0" applyNumberFormat="1" applyFont="1" applyBorder="1"/>
    <xf numFmtId="0" fontId="2" fillId="0" borderId="0" xfId="0" applyFont="1" applyBorder="1"/>
    <xf numFmtId="165" fontId="2" fillId="0" borderId="9" xfId="0" applyNumberFormat="1" applyFont="1" applyBorder="1"/>
    <xf numFmtId="44" fontId="2" fillId="0" borderId="0" xfId="1" applyFont="1" applyBorder="1"/>
    <xf numFmtId="44" fontId="2" fillId="0" borderId="8" xfId="1" applyFont="1" applyBorder="1"/>
    <xf numFmtId="167" fontId="0" fillId="0" borderId="6" xfId="1" applyNumberFormat="1" applyFont="1" applyBorder="1"/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7" xfId="0" applyNumberFormat="1" applyFill="1" applyBorder="1" applyAlignment="1">
      <alignment horizontal="center" wrapText="1"/>
    </xf>
    <xf numFmtId="0" fontId="0" fillId="4" borderId="8" xfId="0" applyNumberFormat="1" applyFill="1" applyBorder="1" applyAlignment="1">
      <alignment horizontal="center" wrapText="1"/>
    </xf>
    <xf numFmtId="167" fontId="0" fillId="4" borderId="5" xfId="1" applyNumberFormat="1" applyFont="1" applyFill="1" applyBorder="1"/>
    <xf numFmtId="167" fontId="0" fillId="4" borderId="0" xfId="1" applyNumberFormat="1" applyFont="1" applyFill="1" applyBorder="1"/>
    <xf numFmtId="44" fontId="0" fillId="4" borderId="13" xfId="0" applyNumberFormat="1" applyFill="1" applyBorder="1"/>
    <xf numFmtId="166" fontId="0" fillId="4" borderId="13" xfId="0" applyNumberFormat="1" applyFill="1" applyBorder="1"/>
    <xf numFmtId="166" fontId="0" fillId="4" borderId="0" xfId="0" applyNumberFormat="1" applyFill="1" applyBorder="1"/>
    <xf numFmtId="166" fontId="0" fillId="4" borderId="11" xfId="0" applyNumberFormat="1" applyFill="1" applyBorder="1"/>
    <xf numFmtId="167" fontId="0" fillId="4" borderId="7" xfId="1" applyNumberFormat="1" applyFont="1" applyFill="1" applyBorder="1"/>
    <xf numFmtId="167" fontId="0" fillId="4" borderId="8" xfId="1" applyNumberFormat="1" applyFont="1" applyFill="1" applyBorder="1"/>
    <xf numFmtId="167" fontId="0" fillId="4" borderId="0" xfId="0" applyNumberFormat="1" applyFill="1" applyBorder="1"/>
    <xf numFmtId="44" fontId="0" fillId="4" borderId="0" xfId="0" applyNumberFormat="1" applyFill="1" applyBorder="1"/>
    <xf numFmtId="166" fontId="0" fillId="4" borderId="18" xfId="0" applyNumberFormat="1" applyFill="1" applyBorder="1"/>
    <xf numFmtId="164" fontId="0" fillId="4" borderId="3" xfId="0" applyNumberFormat="1" applyFill="1" applyBorder="1" applyAlignment="1">
      <alignment horizontal="center" wrapText="1"/>
    </xf>
    <xf numFmtId="164" fontId="0" fillId="4" borderId="4" xfId="0" applyNumberFormat="1" applyFill="1" applyBorder="1" applyAlignment="1">
      <alignment horizont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6" xfId="0" applyFill="1" applyBorder="1"/>
    <xf numFmtId="166" fontId="0" fillId="4" borderId="6" xfId="0" applyNumberFormat="1" applyFill="1" applyBorder="1"/>
    <xf numFmtId="166" fontId="0" fillId="4" borderId="12" xfId="0" applyNumberFormat="1" applyFill="1" applyBorder="1"/>
    <xf numFmtId="166" fontId="0" fillId="4" borderId="10" xfId="0" applyNumberFormat="1" applyFill="1" applyBorder="1"/>
    <xf numFmtId="166" fontId="0" fillId="4" borderId="8" xfId="0" applyNumberFormat="1" applyFill="1" applyBorder="1"/>
    <xf numFmtId="166" fontId="0" fillId="4" borderId="9" xfId="0" applyNumberFormat="1" applyFill="1" applyBorder="1"/>
    <xf numFmtId="0" fontId="0" fillId="3" borderId="15" xfId="0" applyFill="1" applyBorder="1"/>
    <xf numFmtId="166" fontId="0" fillId="3" borderId="1" xfId="0" applyNumberFormat="1" applyFill="1" applyBorder="1"/>
    <xf numFmtId="166" fontId="0" fillId="3" borderId="17" xfId="0" applyNumberFormat="1" applyFill="1" applyBorder="1"/>
    <xf numFmtId="0" fontId="0" fillId="4" borderId="3" xfId="0" applyFill="1" applyBorder="1"/>
    <xf numFmtId="166" fontId="0" fillId="4" borderId="5" xfId="0" applyNumberFormat="1" applyFill="1" applyBorder="1"/>
    <xf numFmtId="166" fontId="0" fillId="4" borderId="19" xfId="0" applyNumberFormat="1" applyFill="1" applyBorder="1"/>
    <xf numFmtId="0" fontId="0" fillId="4" borderId="20" xfId="0" applyFill="1" applyBorder="1"/>
    <xf numFmtId="164" fontId="0" fillId="4" borderId="2" xfId="0" applyNumberFormat="1" applyFill="1" applyBorder="1" applyAlignment="1">
      <alignment horizontal="center" wrapText="1"/>
    </xf>
    <xf numFmtId="0" fontId="0" fillId="4" borderId="0" xfId="0" applyNumberFormat="1" applyFill="1" applyBorder="1" applyAlignment="1">
      <alignment horizontal="center" wrapText="1"/>
    </xf>
    <xf numFmtId="166" fontId="2" fillId="4" borderId="2" xfId="0" applyNumberFormat="1" applyFont="1" applyFill="1" applyBorder="1"/>
    <xf numFmtId="166" fontId="2" fillId="4" borderId="4" xfId="0" applyNumberFormat="1" applyFont="1" applyFill="1" applyBorder="1"/>
    <xf numFmtId="167" fontId="0" fillId="4" borderId="9" xfId="0" applyNumberFormat="1" applyFill="1" applyBorder="1"/>
    <xf numFmtId="167" fontId="2" fillId="4" borderId="13" xfId="0" applyNumberFormat="1" applyFont="1" applyFill="1" applyBorder="1"/>
    <xf numFmtId="167" fontId="2" fillId="4" borderId="12" xfId="0" applyNumberFormat="1" applyFont="1" applyFill="1" applyBorder="1"/>
    <xf numFmtId="44" fontId="0" fillId="4" borderId="4" xfId="0" applyNumberFormat="1" applyFill="1" applyBorder="1"/>
    <xf numFmtId="166" fontId="2" fillId="4" borderId="13" xfId="0" applyNumberFormat="1" applyFont="1" applyFill="1" applyBorder="1"/>
    <xf numFmtId="166" fontId="2" fillId="4" borderId="12" xfId="0" applyNumberFormat="1" applyFont="1" applyFill="1" applyBorder="1"/>
    <xf numFmtId="166" fontId="0" fillId="4" borderId="4" xfId="0" applyNumberFormat="1" applyFill="1" applyBorder="1"/>
    <xf numFmtId="166" fontId="2" fillId="4" borderId="11" xfId="0" applyNumberFormat="1" applyFont="1" applyFill="1" applyBorder="1"/>
    <xf numFmtId="166" fontId="2" fillId="4" borderId="10" xfId="0" applyNumberFormat="1" applyFont="1" applyFill="1" applyBorder="1"/>
    <xf numFmtId="166" fontId="0" fillId="4" borderId="21" xfId="0" applyNumberFormat="1" applyFill="1" applyBorder="1"/>
    <xf numFmtId="165" fontId="2" fillId="4" borderId="0" xfId="0" applyNumberFormat="1" applyFont="1" applyFill="1" applyBorder="1"/>
    <xf numFmtId="165" fontId="2" fillId="4" borderId="6" xfId="0" applyNumberFormat="1" applyFont="1" applyFill="1" applyBorder="1"/>
    <xf numFmtId="165" fontId="2" fillId="4" borderId="8" xfId="0" applyNumberFormat="1" applyFont="1" applyFill="1" applyBorder="1"/>
    <xf numFmtId="165" fontId="2" fillId="4" borderId="9" xfId="0" applyNumberFormat="1" applyFont="1" applyFill="1" applyBorder="1"/>
    <xf numFmtId="164" fontId="0" fillId="2" borderId="3" xfId="0" applyNumberFormat="1" applyFill="1" applyBorder="1" applyAlignment="1">
      <alignment horizontal="center" wrapText="1"/>
    </xf>
    <xf numFmtId="166" fontId="2" fillId="2" borderId="14" xfId="0" applyNumberFormat="1" applyFont="1" applyFill="1" applyBorder="1"/>
    <xf numFmtId="167" fontId="0" fillId="2" borderId="6" xfId="0" applyNumberFormat="1" applyFill="1" applyBorder="1"/>
    <xf numFmtId="167" fontId="2" fillId="2" borderId="12" xfId="0" applyNumberFormat="1" applyFont="1" applyFill="1" applyBorder="1"/>
    <xf numFmtId="44" fontId="0" fillId="2" borderId="6" xfId="0" applyNumberFormat="1" applyFill="1" applyBorder="1"/>
    <xf numFmtId="166" fontId="0" fillId="2" borderId="6" xfId="0" applyNumberFormat="1" applyFill="1" applyBorder="1"/>
    <xf numFmtId="166" fontId="2" fillId="2" borderId="12" xfId="0" applyNumberFormat="1" applyFont="1" applyFill="1" applyBorder="1"/>
    <xf numFmtId="166" fontId="2" fillId="2" borderId="10" xfId="0" applyNumberFormat="1" applyFont="1" applyFill="1" applyBorder="1"/>
    <xf numFmtId="165" fontId="2" fillId="2" borderId="6" xfId="0" applyNumberFormat="1" applyFont="1" applyFill="1" applyBorder="1"/>
    <xf numFmtId="165" fontId="2" fillId="2" borderId="9" xfId="0" applyNumberFormat="1" applyFont="1" applyFill="1" applyBorder="1"/>
    <xf numFmtId="166" fontId="2" fillId="3" borderId="14" xfId="0" applyNumberFormat="1" applyFont="1" applyFill="1" applyBorder="1"/>
    <xf numFmtId="166" fontId="2" fillId="3" borderId="16" xfId="0" applyNumberFormat="1" applyFont="1" applyFill="1" applyBorder="1"/>
    <xf numFmtId="167" fontId="2" fillId="3" borderId="12" xfId="0" applyNumberFormat="1" applyFont="1" applyFill="1" applyBorder="1"/>
    <xf numFmtId="44" fontId="0" fillId="3" borderId="6" xfId="0" applyNumberFormat="1" applyFill="1" applyBorder="1"/>
    <xf numFmtId="166" fontId="2" fillId="3" borderId="15" xfId="0" applyNumberFormat="1" applyFont="1" applyFill="1" applyBorder="1"/>
    <xf numFmtId="166" fontId="2" fillId="3" borderId="12" xfId="0" applyNumberFormat="1" applyFont="1" applyFill="1" applyBorder="1"/>
    <xf numFmtId="166" fontId="2" fillId="3" borderId="10" xfId="0" applyNumberFormat="1" applyFont="1" applyFill="1" applyBorder="1"/>
    <xf numFmtId="0" fontId="0" fillId="0" borderId="23" xfId="0" applyBorder="1"/>
    <xf numFmtId="0" fontId="0" fillId="4" borderId="9" xfId="0" applyNumberFormat="1" applyFill="1" applyBorder="1" applyAlignment="1">
      <alignment horizontal="center" wrapText="1"/>
    </xf>
    <xf numFmtId="0" fontId="0" fillId="4" borderId="4" xfId="0" applyFill="1" applyBorder="1"/>
    <xf numFmtId="167" fontId="0" fillId="4" borderId="6" xfId="0" applyNumberFormat="1" applyFill="1" applyBorder="1"/>
    <xf numFmtId="166" fontId="2" fillId="4" borderId="5" xfId="0" applyNumberFormat="1" applyFont="1" applyFill="1" applyBorder="1"/>
    <xf numFmtId="166" fontId="2" fillId="4" borderId="6" xfId="0" applyNumberFormat="1" applyFont="1" applyFill="1" applyBorder="1"/>
    <xf numFmtId="166" fontId="2" fillId="4" borderId="0" xfId="0" applyNumberFormat="1" applyFont="1" applyFill="1" applyBorder="1"/>
    <xf numFmtId="164" fontId="0" fillId="2" borderId="4" xfId="0" applyNumberFormat="1" applyFill="1" applyBorder="1" applyAlignment="1">
      <alignment horizontal="center" wrapText="1"/>
    </xf>
    <xf numFmtId="0" fontId="0" fillId="2" borderId="9" xfId="0" applyNumberFormat="1" applyFill="1" applyBorder="1" applyAlignment="1">
      <alignment horizontal="center" wrapText="1"/>
    </xf>
    <xf numFmtId="0" fontId="0" fillId="2" borderId="6" xfId="0" applyFill="1" applyBorder="1"/>
    <xf numFmtId="166" fontId="2" fillId="2" borderId="6" xfId="0" applyNumberFormat="1" applyFont="1" applyFill="1" applyBorder="1"/>
    <xf numFmtId="0" fontId="0" fillId="3" borderId="9" xfId="0" applyNumberFormat="1" applyFill="1" applyBorder="1" applyAlignment="1">
      <alignment horizontal="center" wrapText="1"/>
    </xf>
    <xf numFmtId="166" fontId="2" fillId="3" borderId="6" xfId="0" applyNumberFormat="1" applyFont="1" applyFill="1" applyBorder="1"/>
    <xf numFmtId="167" fontId="0" fillId="4" borderId="6" xfId="1" applyNumberFormat="1" applyFont="1" applyFill="1" applyBorder="1"/>
    <xf numFmtId="166" fontId="0" fillId="4" borderId="2" xfId="0" applyNumberFormat="1" applyFill="1" applyBorder="1"/>
    <xf numFmtId="166" fontId="2" fillId="4" borderId="18" xfId="0" applyNumberFormat="1" applyFont="1" applyFill="1" applyBorder="1"/>
    <xf numFmtId="166" fontId="2" fillId="4" borderId="24" xfId="0" applyNumberFormat="1" applyFont="1" applyFill="1" applyBorder="1"/>
    <xf numFmtId="167" fontId="0" fillId="2" borderId="6" xfId="1" applyNumberFormat="1" applyFont="1" applyFill="1" applyBorder="1"/>
    <xf numFmtId="0" fontId="0" fillId="0" borderId="7" xfId="0" applyFill="1" applyBorder="1"/>
    <xf numFmtId="0" fontId="0" fillId="0" borderId="9" xfId="0" applyFill="1" applyBorder="1"/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94DB4-6E56-4AAC-B0C6-53E7907A927F}">
  <dimension ref="B2:E173"/>
  <sheetViews>
    <sheetView topLeftCell="C146" workbookViewId="0">
      <selection activeCell="B101" sqref="B101"/>
    </sheetView>
  </sheetViews>
  <sheetFormatPr defaultRowHeight="15" x14ac:dyDescent="0.25"/>
  <cols>
    <col min="2" max="2" width="71.42578125" style="1" customWidth="1"/>
    <col min="3" max="4" width="15.42578125" customWidth="1"/>
    <col min="5" max="5" width="12.28515625" bestFit="1" customWidth="1"/>
  </cols>
  <sheetData>
    <row r="2" spans="2:4" x14ac:dyDescent="0.25">
      <c r="B2" s="190" t="s">
        <v>38</v>
      </c>
      <c r="C2" s="190"/>
      <c r="D2" s="190"/>
    </row>
    <row r="3" spans="2:4" ht="15.75" thickBot="1" x14ac:dyDescent="0.3">
      <c r="B3" s="191"/>
      <c r="C3" s="191"/>
      <c r="D3" s="191"/>
    </row>
    <row r="4" spans="2:4" s="1" customFormat="1" x14ac:dyDescent="0.25">
      <c r="B4" s="2"/>
      <c r="C4" s="24" t="s">
        <v>36</v>
      </c>
      <c r="D4" s="25" t="s">
        <v>37</v>
      </c>
    </row>
    <row r="5" spans="2:4" s="1" customFormat="1" ht="15.75" thickBot="1" x14ac:dyDescent="0.3">
      <c r="B5" s="6"/>
      <c r="C5" s="28">
        <v>2019</v>
      </c>
      <c r="D5" s="29">
        <v>2020</v>
      </c>
    </row>
    <row r="6" spans="2:4" x14ac:dyDescent="0.25">
      <c r="B6" s="3" t="s">
        <v>0</v>
      </c>
      <c r="C6" s="4"/>
      <c r="D6" s="5"/>
    </row>
    <row r="7" spans="2:4" x14ac:dyDescent="0.25">
      <c r="B7" s="6" t="s">
        <v>30</v>
      </c>
      <c r="C7" s="7"/>
      <c r="D7" s="8"/>
    </row>
    <row r="8" spans="2:4" x14ac:dyDescent="0.25">
      <c r="B8" s="10" t="s">
        <v>1</v>
      </c>
      <c r="C8" s="7">
        <v>1778</v>
      </c>
      <c r="D8" s="8">
        <v>2133</v>
      </c>
    </row>
    <row r="9" spans="2:4" x14ac:dyDescent="0.25">
      <c r="B9" s="10" t="s">
        <v>2</v>
      </c>
      <c r="C9" s="20">
        <v>1936</v>
      </c>
      <c r="D9" s="21">
        <v>2106</v>
      </c>
    </row>
    <row r="10" spans="2:4" x14ac:dyDescent="0.25">
      <c r="B10" s="10" t="s">
        <v>3</v>
      </c>
      <c r="C10" s="20">
        <v>13925</v>
      </c>
      <c r="D10" s="21">
        <v>14531</v>
      </c>
    </row>
    <row r="11" spans="2:4" ht="15.75" thickBot="1" x14ac:dyDescent="0.3">
      <c r="B11" s="10" t="s">
        <v>4</v>
      </c>
      <c r="C11" s="20">
        <v>890</v>
      </c>
      <c r="D11" s="21">
        <v>1040</v>
      </c>
    </row>
    <row r="12" spans="2:4" ht="15.75" thickBot="1" x14ac:dyDescent="0.3">
      <c r="B12" s="11" t="s">
        <v>5</v>
      </c>
      <c r="C12" s="16">
        <f>SUM(C8:C11)</f>
        <v>18529</v>
      </c>
      <c r="D12" s="17">
        <f>SUM(D8:D11)</f>
        <v>19810</v>
      </c>
    </row>
    <row r="13" spans="2:4" x14ac:dyDescent="0.25">
      <c r="B13" s="6" t="s">
        <v>6</v>
      </c>
      <c r="C13" s="7">
        <v>22375</v>
      </c>
      <c r="D13" s="8">
        <v>22770</v>
      </c>
    </row>
    <row r="14" spans="2:4" x14ac:dyDescent="0.25">
      <c r="B14" s="6" t="s">
        <v>7</v>
      </c>
      <c r="C14" s="7">
        <v>0</v>
      </c>
      <c r="D14" s="8">
        <v>5595</v>
      </c>
    </row>
    <row r="15" spans="2:4" x14ac:dyDescent="0.25">
      <c r="B15" s="6" t="s">
        <v>8</v>
      </c>
      <c r="C15" s="7">
        <v>2252</v>
      </c>
      <c r="D15" s="8">
        <v>2254</v>
      </c>
    </row>
    <row r="16" spans="2:4" ht="15.75" thickBot="1" x14ac:dyDescent="0.3">
      <c r="B16" s="6" t="s">
        <v>9</v>
      </c>
      <c r="C16" s="7">
        <v>847</v>
      </c>
      <c r="D16" s="8">
        <v>807</v>
      </c>
    </row>
    <row r="17" spans="2:4" ht="15.75" thickBot="1" x14ac:dyDescent="0.3">
      <c r="B17" s="30" t="s">
        <v>10</v>
      </c>
      <c r="C17" s="14">
        <f>SUM(C12,C13:C16)</f>
        <v>44003</v>
      </c>
      <c r="D17" s="15">
        <f>SUM(D12,D13:D16)</f>
        <v>51236</v>
      </c>
    </row>
    <row r="18" spans="2:4" ht="15.75" thickTop="1" x14ac:dyDescent="0.25">
      <c r="B18" s="6"/>
      <c r="C18" s="7"/>
      <c r="D18" s="8"/>
    </row>
    <row r="19" spans="2:4" x14ac:dyDescent="0.25">
      <c r="B19" s="3" t="s">
        <v>11</v>
      </c>
      <c r="C19" s="7"/>
      <c r="D19" s="8"/>
    </row>
    <row r="20" spans="2:4" x14ac:dyDescent="0.25">
      <c r="B20" s="6" t="s">
        <v>31</v>
      </c>
      <c r="C20" s="7"/>
      <c r="D20" s="8"/>
    </row>
    <row r="21" spans="2:4" x14ac:dyDescent="0.25">
      <c r="B21" s="10" t="s">
        <v>12</v>
      </c>
      <c r="C21" s="7">
        <v>1339</v>
      </c>
      <c r="D21" s="8">
        <v>974</v>
      </c>
    </row>
    <row r="22" spans="2:4" x14ac:dyDescent="0.25">
      <c r="B22" s="10" t="s">
        <v>13</v>
      </c>
      <c r="C22" s="7">
        <v>7755</v>
      </c>
      <c r="D22" s="8">
        <v>7787</v>
      </c>
    </row>
    <row r="23" spans="2:4" x14ac:dyDescent="0.25">
      <c r="B23" s="10" t="s">
        <v>14</v>
      </c>
      <c r="C23" s="7">
        <v>1506</v>
      </c>
      <c r="D23" s="8">
        <v>1494</v>
      </c>
    </row>
    <row r="24" spans="2:4" x14ac:dyDescent="0.25">
      <c r="B24" s="10" t="s">
        <v>15</v>
      </c>
      <c r="C24" s="7">
        <v>656</v>
      </c>
      <c r="D24" s="8">
        <v>605</v>
      </c>
    </row>
    <row r="25" spans="2:4" x14ac:dyDescent="0.25">
      <c r="B25" s="10" t="s">
        <v>16</v>
      </c>
      <c r="C25" s="7">
        <v>1782</v>
      </c>
      <c r="D25" s="8">
        <v>2116</v>
      </c>
    </row>
    <row r="26" spans="2:4" x14ac:dyDescent="0.25">
      <c r="B26" s="10" t="s">
        <v>17</v>
      </c>
      <c r="C26" s="7">
        <v>11</v>
      </c>
      <c r="D26" s="8">
        <v>55</v>
      </c>
    </row>
    <row r="27" spans="2:4" x14ac:dyDescent="0.25">
      <c r="B27" s="10" t="s">
        <v>18</v>
      </c>
      <c r="C27" s="7">
        <v>1056</v>
      </c>
      <c r="D27" s="8">
        <v>1839</v>
      </c>
    </row>
    <row r="28" spans="2:4" x14ac:dyDescent="0.25">
      <c r="B28" s="10" t="s">
        <v>19</v>
      </c>
      <c r="C28" s="7">
        <v>0</v>
      </c>
      <c r="D28" s="8">
        <v>828</v>
      </c>
    </row>
    <row r="29" spans="2:4" x14ac:dyDescent="0.25">
      <c r="B29" s="10" t="s">
        <v>34</v>
      </c>
      <c r="C29" s="7">
        <v>2611</v>
      </c>
      <c r="D29" s="8">
        <v>2677</v>
      </c>
    </row>
    <row r="30" spans="2:4" x14ac:dyDescent="0.25">
      <c r="B30" s="11" t="s">
        <v>35</v>
      </c>
      <c r="C30" s="7">
        <f>SUM(C19:C29)</f>
        <v>16716</v>
      </c>
      <c r="D30" s="8">
        <f>SUM(D19:D29)</f>
        <v>18375</v>
      </c>
    </row>
    <row r="31" spans="2:4" x14ac:dyDescent="0.25">
      <c r="B31" s="22" t="s">
        <v>20</v>
      </c>
      <c r="C31" s="7">
        <v>26807</v>
      </c>
      <c r="D31" s="8">
        <v>28670</v>
      </c>
    </row>
    <row r="32" spans="2:4" x14ac:dyDescent="0.25">
      <c r="B32" s="22" t="s">
        <v>21</v>
      </c>
      <c r="C32" s="7">
        <v>0</v>
      </c>
      <c r="D32" s="8">
        <v>5066</v>
      </c>
    </row>
    <row r="33" spans="2:5" x14ac:dyDescent="0.25">
      <c r="B33" s="22" t="s">
        <v>22</v>
      </c>
      <c r="C33" s="7">
        <v>491</v>
      </c>
      <c r="D33" s="8">
        <v>706</v>
      </c>
    </row>
    <row r="34" spans="2:5" ht="15.75" thickBot="1" x14ac:dyDescent="0.3">
      <c r="B34" s="22" t="s">
        <v>23</v>
      </c>
      <c r="C34" s="7">
        <v>1867</v>
      </c>
      <c r="D34" s="8">
        <v>1535</v>
      </c>
    </row>
    <row r="35" spans="2:5" ht="15.75" thickBot="1" x14ac:dyDescent="0.3">
      <c r="B35" s="31" t="s">
        <v>24</v>
      </c>
      <c r="C35" s="14">
        <f>SUM(C30:C34)</f>
        <v>45881</v>
      </c>
      <c r="D35" s="15">
        <f>SUM(D30:D34)</f>
        <v>54352</v>
      </c>
    </row>
    <row r="36" spans="2:5" ht="15.75" thickTop="1" x14ac:dyDescent="0.25">
      <c r="B36" s="6"/>
      <c r="C36" s="7"/>
      <c r="D36" s="8"/>
    </row>
    <row r="37" spans="2:5" ht="45" x14ac:dyDescent="0.25">
      <c r="B37" s="6" t="s">
        <v>25</v>
      </c>
      <c r="C37" s="7">
        <v>89</v>
      </c>
      <c r="D37" s="8">
        <v>89</v>
      </c>
    </row>
    <row r="38" spans="2:5" x14ac:dyDescent="0.25">
      <c r="B38" s="6" t="s">
        <v>26</v>
      </c>
      <c r="C38" s="7">
        <v>10578</v>
      </c>
      <c r="D38" s="8">
        <v>11001</v>
      </c>
    </row>
    <row r="39" spans="2:5" x14ac:dyDescent="0.25">
      <c r="B39" s="6" t="s">
        <v>27</v>
      </c>
      <c r="C39" s="7">
        <v>46423</v>
      </c>
      <c r="D39" s="8">
        <v>51729</v>
      </c>
    </row>
    <row r="40" spans="2:5" x14ac:dyDescent="0.25">
      <c r="B40" s="6" t="s">
        <v>32</v>
      </c>
      <c r="C40" s="7">
        <v>-722</v>
      </c>
      <c r="D40" s="8">
        <v>-739</v>
      </c>
    </row>
    <row r="41" spans="2:5" ht="30" x14ac:dyDescent="0.25">
      <c r="B41" s="6" t="s">
        <v>33</v>
      </c>
      <c r="C41" s="7">
        <v>-58196</v>
      </c>
      <c r="D41" s="8">
        <v>-65196</v>
      </c>
    </row>
    <row r="42" spans="2:5" ht="15.75" thickBot="1" x14ac:dyDescent="0.3">
      <c r="B42" s="30" t="s">
        <v>28</v>
      </c>
      <c r="C42" s="7">
        <f>SUM(C37:C41)</f>
        <v>-1828</v>
      </c>
      <c r="D42" s="8">
        <f>SUM(D37:D41)</f>
        <v>-3116</v>
      </c>
    </row>
    <row r="43" spans="2:5" ht="15.75" thickBot="1" x14ac:dyDescent="0.3">
      <c r="B43" s="30" t="s">
        <v>29</v>
      </c>
      <c r="C43" s="14">
        <f>SUM(C35,C42)</f>
        <v>44053</v>
      </c>
      <c r="D43" s="15">
        <f>SUM(D35,D42)</f>
        <v>51236</v>
      </c>
    </row>
    <row r="44" spans="2:5" ht="16.5" thickTop="1" thickBot="1" x14ac:dyDescent="0.3">
      <c r="B44" s="23"/>
      <c r="C44" s="12"/>
      <c r="D44" s="13"/>
    </row>
    <row r="47" spans="2:5" ht="15" customHeight="1" x14ac:dyDescent="0.25">
      <c r="B47" s="190" t="s">
        <v>61</v>
      </c>
      <c r="C47" s="190"/>
      <c r="D47" s="190"/>
      <c r="E47" s="190"/>
    </row>
    <row r="48" spans="2:5" ht="15.75" customHeight="1" thickBot="1" x14ac:dyDescent="0.3">
      <c r="B48" s="191"/>
      <c r="C48" s="191"/>
      <c r="D48" s="191"/>
      <c r="E48" s="191"/>
    </row>
    <row r="49" spans="2:5" x14ac:dyDescent="0.25">
      <c r="B49" s="2"/>
      <c r="C49" s="24" t="s">
        <v>39</v>
      </c>
      <c r="D49" s="24" t="s">
        <v>39</v>
      </c>
      <c r="E49" s="25" t="s">
        <v>39</v>
      </c>
    </row>
    <row r="50" spans="2:5" x14ac:dyDescent="0.25">
      <c r="B50" s="6"/>
      <c r="C50" s="26">
        <v>2017</v>
      </c>
      <c r="D50" s="26">
        <v>2018</v>
      </c>
      <c r="E50" s="27">
        <v>2019</v>
      </c>
    </row>
    <row r="51" spans="2:5" x14ac:dyDescent="0.25">
      <c r="B51" s="22" t="s">
        <v>40</v>
      </c>
      <c r="C51" s="7">
        <v>100904</v>
      </c>
      <c r="D51" s="7">
        <v>108203</v>
      </c>
      <c r="E51" s="8">
        <v>110225</v>
      </c>
    </row>
    <row r="52" spans="2:5" ht="15.75" thickBot="1" x14ac:dyDescent="0.3">
      <c r="B52" s="22" t="s">
        <v>41</v>
      </c>
      <c r="C52" s="33">
        <v>66548</v>
      </c>
      <c r="D52" s="33">
        <v>71043</v>
      </c>
      <c r="E52" s="34">
        <v>72653</v>
      </c>
    </row>
    <row r="53" spans="2:5" ht="15.75" thickBot="1" x14ac:dyDescent="0.3">
      <c r="B53" s="31" t="s">
        <v>42</v>
      </c>
      <c r="C53" s="35">
        <f>C51-C52</f>
        <v>34356</v>
      </c>
      <c r="D53" s="32">
        <f t="shared" ref="D53:E53" si="0">D51-D52</f>
        <v>37160</v>
      </c>
      <c r="E53" s="36">
        <f t="shared" si="0"/>
        <v>37572</v>
      </c>
    </row>
    <row r="54" spans="2:5" x14ac:dyDescent="0.25">
      <c r="B54" s="22" t="s">
        <v>60</v>
      </c>
      <c r="C54" s="20"/>
      <c r="D54" s="20"/>
      <c r="E54" s="21"/>
    </row>
    <row r="55" spans="2:5" x14ac:dyDescent="0.25">
      <c r="B55" s="10" t="s">
        <v>43</v>
      </c>
      <c r="C55" s="7">
        <v>17864</v>
      </c>
      <c r="D55" s="7">
        <v>19513</v>
      </c>
      <c r="E55" s="8">
        <v>19740</v>
      </c>
    </row>
    <row r="56" spans="2:5" x14ac:dyDescent="0.25">
      <c r="B56" s="10" t="s">
        <v>44</v>
      </c>
      <c r="C56" s="7">
        <v>1811</v>
      </c>
      <c r="D56" s="7">
        <v>1870</v>
      </c>
      <c r="E56" s="8">
        <v>1989</v>
      </c>
    </row>
    <row r="57" spans="2:5" ht="15.75" thickBot="1" x14ac:dyDescent="0.3">
      <c r="B57" s="10" t="s">
        <v>45</v>
      </c>
      <c r="C57" s="7">
        <v>0</v>
      </c>
      <c r="D57" s="7">
        <v>247</v>
      </c>
      <c r="E57" s="8">
        <v>0</v>
      </c>
    </row>
    <row r="58" spans="2:5" ht="15.75" thickBot="1" x14ac:dyDescent="0.3">
      <c r="B58" s="31" t="s">
        <v>46</v>
      </c>
      <c r="C58" s="16">
        <f>SUM(C55:C57)</f>
        <v>19675</v>
      </c>
      <c r="D58" s="16">
        <f t="shared" ref="D58:E58" si="1">SUM(D55:D57)</f>
        <v>21630</v>
      </c>
      <c r="E58" s="17">
        <f t="shared" si="1"/>
        <v>21729</v>
      </c>
    </row>
    <row r="59" spans="2:5" ht="15.75" thickBot="1" x14ac:dyDescent="0.3">
      <c r="B59" s="6" t="s">
        <v>47</v>
      </c>
      <c r="C59" s="16">
        <f>C53-C58</f>
        <v>14681</v>
      </c>
      <c r="D59" s="16">
        <f t="shared" ref="D59:E59" si="2">D53-D58</f>
        <v>15530</v>
      </c>
      <c r="E59" s="17">
        <f t="shared" si="2"/>
        <v>15843</v>
      </c>
    </row>
    <row r="60" spans="2:5" x14ac:dyDescent="0.25">
      <c r="B60" s="6" t="s">
        <v>49</v>
      </c>
      <c r="C60" s="7"/>
      <c r="D60" s="7"/>
      <c r="E60" s="8"/>
    </row>
    <row r="61" spans="2:5" x14ac:dyDescent="0.25">
      <c r="B61" s="10" t="s">
        <v>50</v>
      </c>
      <c r="C61" s="7">
        <v>-74</v>
      </c>
      <c r="D61" s="7">
        <v>-93</v>
      </c>
      <c r="E61" s="8">
        <v>-73</v>
      </c>
    </row>
    <row r="62" spans="2:5" x14ac:dyDescent="0.25">
      <c r="B62" s="10" t="s">
        <v>51</v>
      </c>
      <c r="C62" s="7">
        <v>1057</v>
      </c>
      <c r="D62" s="7">
        <v>1051</v>
      </c>
      <c r="E62" s="8">
        <v>1201</v>
      </c>
    </row>
    <row r="63" spans="2:5" ht="15.75" thickBot="1" x14ac:dyDescent="0.3">
      <c r="B63" s="10" t="s">
        <v>52</v>
      </c>
      <c r="C63" s="7">
        <v>0</v>
      </c>
      <c r="D63" s="7">
        <v>16</v>
      </c>
      <c r="E63" s="8">
        <v>0</v>
      </c>
    </row>
    <row r="64" spans="2:5" ht="15.75" thickBot="1" x14ac:dyDescent="0.3">
      <c r="B64" s="31" t="s">
        <v>53</v>
      </c>
      <c r="C64" s="16">
        <f>SUM(C61:C63)</f>
        <v>983</v>
      </c>
      <c r="D64" s="16">
        <f t="shared" ref="D64:E64" si="3">SUM(D61:D63)</f>
        <v>974</v>
      </c>
      <c r="E64" s="17">
        <f t="shared" si="3"/>
        <v>1128</v>
      </c>
    </row>
    <row r="65" spans="2:5" x14ac:dyDescent="0.25">
      <c r="B65" s="6" t="s">
        <v>54</v>
      </c>
      <c r="C65" s="7">
        <f>C59-C64</f>
        <v>13698</v>
      </c>
      <c r="D65" s="7">
        <f t="shared" ref="D65:E65" si="4">D59-D64</f>
        <v>14556</v>
      </c>
      <c r="E65" s="8">
        <f t="shared" si="4"/>
        <v>14715</v>
      </c>
    </row>
    <row r="66" spans="2:5" ht="15.75" thickBot="1" x14ac:dyDescent="0.3">
      <c r="B66" s="6" t="s">
        <v>55</v>
      </c>
      <c r="C66" s="7">
        <v>5068</v>
      </c>
      <c r="D66" s="7">
        <v>3435</v>
      </c>
      <c r="E66" s="8">
        <v>3473</v>
      </c>
    </row>
    <row r="67" spans="2:5" ht="15.75" thickBot="1" x14ac:dyDescent="0.3">
      <c r="B67" s="22" t="s">
        <v>48</v>
      </c>
      <c r="C67" s="14">
        <f>C65-C66</f>
        <v>8630</v>
      </c>
      <c r="D67" s="14">
        <f t="shared" ref="D67:E67" si="5">D65-D66</f>
        <v>11121</v>
      </c>
      <c r="E67" s="15">
        <f t="shared" si="5"/>
        <v>11242</v>
      </c>
    </row>
    <row r="68" spans="2:5" ht="15.75" thickTop="1" x14ac:dyDescent="0.25">
      <c r="B68" s="6"/>
      <c r="C68" s="7"/>
      <c r="D68" s="7"/>
      <c r="E68" s="8"/>
    </row>
    <row r="69" spans="2:5" x14ac:dyDescent="0.25">
      <c r="B69" s="6" t="s">
        <v>56</v>
      </c>
      <c r="C69" s="7">
        <v>1178</v>
      </c>
      <c r="D69" s="7">
        <v>1137</v>
      </c>
      <c r="E69" s="8">
        <v>1093</v>
      </c>
    </row>
    <row r="70" spans="2:5" x14ac:dyDescent="0.25">
      <c r="B70" s="22" t="s">
        <v>57</v>
      </c>
      <c r="C70" s="37">
        <v>7.33</v>
      </c>
      <c r="D70" s="37">
        <v>9.7799999999999994</v>
      </c>
      <c r="E70" s="38">
        <v>10.29</v>
      </c>
    </row>
    <row r="71" spans="2:5" x14ac:dyDescent="0.25">
      <c r="B71" s="9"/>
      <c r="C71" s="7"/>
      <c r="D71" s="7"/>
      <c r="E71" s="8"/>
    </row>
    <row r="72" spans="2:5" x14ac:dyDescent="0.25">
      <c r="B72" s="22" t="s">
        <v>58</v>
      </c>
      <c r="C72" s="7">
        <v>1184</v>
      </c>
      <c r="D72" s="7">
        <v>1143</v>
      </c>
      <c r="E72" s="8">
        <v>1097</v>
      </c>
    </row>
    <row r="73" spans="2:5" x14ac:dyDescent="0.25">
      <c r="B73" s="22" t="s">
        <v>59</v>
      </c>
      <c r="C73" s="37">
        <v>7.29</v>
      </c>
      <c r="D73" s="37">
        <v>9.73</v>
      </c>
      <c r="E73" s="38">
        <v>10.25</v>
      </c>
    </row>
    <row r="74" spans="2:5" ht="15.75" thickBot="1" x14ac:dyDescent="0.3">
      <c r="B74" s="23"/>
      <c r="C74" s="12"/>
      <c r="D74" s="12"/>
      <c r="E74" s="13"/>
    </row>
    <row r="77" spans="2:5" x14ac:dyDescent="0.25">
      <c r="B77" s="190" t="s">
        <v>62</v>
      </c>
      <c r="C77" s="190"/>
      <c r="D77" s="190"/>
      <c r="E77" s="190"/>
    </row>
    <row r="78" spans="2:5" ht="15.75" thickBot="1" x14ac:dyDescent="0.3">
      <c r="B78" s="191"/>
      <c r="C78" s="191"/>
      <c r="D78" s="191"/>
      <c r="E78" s="191"/>
    </row>
    <row r="79" spans="2:5" x14ac:dyDescent="0.25">
      <c r="B79" s="2"/>
      <c r="C79" s="24" t="s">
        <v>39</v>
      </c>
      <c r="D79" s="24" t="s">
        <v>39</v>
      </c>
      <c r="E79" s="25" t="s">
        <v>39</v>
      </c>
    </row>
    <row r="80" spans="2:5" x14ac:dyDescent="0.25">
      <c r="B80" s="6"/>
      <c r="C80" s="26">
        <v>2017</v>
      </c>
      <c r="D80" s="26">
        <v>2018</v>
      </c>
      <c r="E80" s="27">
        <v>2019</v>
      </c>
    </row>
    <row r="81" spans="2:5" x14ac:dyDescent="0.25">
      <c r="B81" s="22" t="s">
        <v>63</v>
      </c>
      <c r="C81" s="7">
        <f>C67</f>
        <v>8630</v>
      </c>
      <c r="D81" s="7">
        <f t="shared" ref="D81:E81" si="6">D67</f>
        <v>11121</v>
      </c>
      <c r="E81" s="8">
        <f t="shared" si="6"/>
        <v>11242</v>
      </c>
    </row>
    <row r="82" spans="2:5" x14ac:dyDescent="0.25">
      <c r="B82" s="22" t="s">
        <v>64</v>
      </c>
      <c r="C82" s="33"/>
      <c r="D82" s="33"/>
      <c r="E82" s="34"/>
    </row>
    <row r="83" spans="2:5" x14ac:dyDescent="0.25">
      <c r="B83" s="10" t="s">
        <v>65</v>
      </c>
      <c r="C83" s="33">
        <v>311</v>
      </c>
      <c r="D83" s="20">
        <v>-267</v>
      </c>
      <c r="E83" s="34">
        <v>53</v>
      </c>
    </row>
    <row r="84" spans="2:5" x14ac:dyDescent="0.25">
      <c r="B84" s="10" t="s">
        <v>66</v>
      </c>
      <c r="C84" s="33">
        <v>-1</v>
      </c>
      <c r="D84" s="33">
        <v>53</v>
      </c>
      <c r="E84" s="21">
        <v>8</v>
      </c>
    </row>
    <row r="85" spans="2:5" ht="15.75" thickBot="1" x14ac:dyDescent="0.3">
      <c r="B85" s="10" t="s">
        <v>52</v>
      </c>
      <c r="C85" s="7">
        <v>-9</v>
      </c>
      <c r="D85" s="7">
        <v>8</v>
      </c>
      <c r="E85" s="8">
        <v>3</v>
      </c>
    </row>
    <row r="86" spans="2:5" ht="15.75" thickBot="1" x14ac:dyDescent="0.3">
      <c r="B86" s="31" t="s">
        <v>67</v>
      </c>
      <c r="C86" s="16">
        <f>SUM(C83:C85)</f>
        <v>301</v>
      </c>
      <c r="D86" s="16">
        <f t="shared" ref="D86:E86" si="7">SUM(D83:D85)</f>
        <v>-206</v>
      </c>
      <c r="E86" s="17">
        <f t="shared" si="7"/>
        <v>64</v>
      </c>
    </row>
    <row r="87" spans="2:5" ht="15.75" thickBot="1" x14ac:dyDescent="0.3">
      <c r="B87" s="22" t="s">
        <v>68</v>
      </c>
      <c r="C87" s="14">
        <f>SUM(C81,C86)</f>
        <v>8931</v>
      </c>
      <c r="D87" s="14">
        <f t="shared" ref="D87:E87" si="8">SUM(D81,D86)</f>
        <v>10915</v>
      </c>
      <c r="E87" s="15">
        <f t="shared" si="8"/>
        <v>11306</v>
      </c>
    </row>
    <row r="88" spans="2:5" ht="16.5" thickTop="1" thickBot="1" x14ac:dyDescent="0.3">
      <c r="B88" s="23"/>
      <c r="C88" s="12"/>
      <c r="D88" s="12"/>
      <c r="E88" s="13"/>
    </row>
    <row r="91" spans="2:5" x14ac:dyDescent="0.25">
      <c r="B91" s="190" t="s">
        <v>114</v>
      </c>
      <c r="C91" s="190"/>
      <c r="D91" s="190"/>
      <c r="E91" s="190"/>
    </row>
    <row r="92" spans="2:5" ht="15.75" thickBot="1" x14ac:dyDescent="0.3">
      <c r="B92" s="191"/>
      <c r="C92" s="191"/>
      <c r="D92" s="191"/>
      <c r="E92" s="191"/>
    </row>
    <row r="93" spans="2:5" x14ac:dyDescent="0.25">
      <c r="B93" s="2"/>
      <c r="C93" s="24" t="s">
        <v>39</v>
      </c>
      <c r="D93" s="24" t="s">
        <v>39</v>
      </c>
      <c r="E93" s="25" t="s">
        <v>39</v>
      </c>
    </row>
    <row r="94" spans="2:5" x14ac:dyDescent="0.25">
      <c r="B94" s="3" t="s">
        <v>69</v>
      </c>
      <c r="C94" s="26">
        <v>2017</v>
      </c>
      <c r="D94" s="26">
        <v>2018</v>
      </c>
      <c r="E94" s="27">
        <v>2019</v>
      </c>
    </row>
    <row r="95" spans="2:5" x14ac:dyDescent="0.25">
      <c r="B95" s="22" t="s">
        <v>70</v>
      </c>
      <c r="C95" s="7">
        <v>89</v>
      </c>
      <c r="D95" s="7">
        <v>89</v>
      </c>
      <c r="E95" s="8">
        <v>89</v>
      </c>
    </row>
    <row r="96" spans="2:5" ht="15.75" thickBot="1" x14ac:dyDescent="0.3">
      <c r="B96" s="22" t="s">
        <v>71</v>
      </c>
      <c r="C96" s="33">
        <v>0</v>
      </c>
      <c r="D96" s="33">
        <v>0</v>
      </c>
      <c r="E96" s="34">
        <v>0</v>
      </c>
    </row>
    <row r="97" spans="2:5" ht="15.75" thickBot="1" x14ac:dyDescent="0.3">
      <c r="B97" s="10" t="s">
        <v>72</v>
      </c>
      <c r="C97" s="35">
        <f>C95-C96</f>
        <v>89</v>
      </c>
      <c r="D97" s="35">
        <f t="shared" ref="D97" si="9">D95-D96</f>
        <v>89</v>
      </c>
      <c r="E97" s="36">
        <f t="shared" ref="E97" si="10">E95-E96</f>
        <v>89</v>
      </c>
    </row>
    <row r="98" spans="2:5" x14ac:dyDescent="0.25">
      <c r="B98" s="22"/>
      <c r="C98" s="20"/>
      <c r="D98" s="20"/>
      <c r="E98" s="21"/>
    </row>
    <row r="99" spans="2:5" x14ac:dyDescent="0.25">
      <c r="B99" s="39" t="s">
        <v>75</v>
      </c>
      <c r="C99" s="7"/>
      <c r="D99" s="7"/>
      <c r="E99" s="8"/>
    </row>
    <row r="100" spans="2:5" x14ac:dyDescent="0.25">
      <c r="B100" s="22" t="s">
        <v>70</v>
      </c>
      <c r="C100" s="7">
        <v>9787</v>
      </c>
      <c r="D100" s="7">
        <v>10192</v>
      </c>
      <c r="E100" s="8">
        <v>10578</v>
      </c>
    </row>
    <row r="101" spans="2:5" x14ac:dyDescent="0.25">
      <c r="B101" s="22" t="s">
        <v>71</v>
      </c>
      <c r="C101" s="7">
        <v>132</v>
      </c>
      <c r="D101" s="7">
        <v>104</v>
      </c>
      <c r="E101" s="8">
        <v>172</v>
      </c>
    </row>
    <row r="102" spans="2:5" ht="15.75" thickBot="1" x14ac:dyDescent="0.3">
      <c r="B102" s="22" t="s">
        <v>73</v>
      </c>
      <c r="C102" s="7">
        <v>273</v>
      </c>
      <c r="D102" s="7">
        <v>282</v>
      </c>
      <c r="E102" s="8">
        <v>251</v>
      </c>
    </row>
    <row r="103" spans="2:5" ht="15.75" thickBot="1" x14ac:dyDescent="0.3">
      <c r="B103" s="10" t="s">
        <v>72</v>
      </c>
      <c r="C103" s="16">
        <f>SUM(C100:C102)</f>
        <v>10192</v>
      </c>
      <c r="D103" s="16">
        <f t="shared" ref="D103:E103" si="11">SUM(D100:D102)</f>
        <v>10578</v>
      </c>
      <c r="E103" s="17">
        <f t="shared" si="11"/>
        <v>11001</v>
      </c>
    </row>
    <row r="104" spans="2:5" x14ac:dyDescent="0.25">
      <c r="B104" s="6"/>
      <c r="C104" s="18"/>
      <c r="D104" s="18"/>
      <c r="E104" s="19"/>
    </row>
    <row r="105" spans="2:5" x14ac:dyDescent="0.25">
      <c r="B105" s="3" t="s">
        <v>74</v>
      </c>
      <c r="C105" s="7"/>
      <c r="D105" s="7"/>
      <c r="E105" s="7"/>
    </row>
    <row r="106" spans="2:5" x14ac:dyDescent="0.25">
      <c r="B106" s="22" t="s">
        <v>70</v>
      </c>
      <c r="C106" s="7">
        <v>35519</v>
      </c>
      <c r="D106" s="7">
        <v>39935</v>
      </c>
      <c r="E106" s="8">
        <v>46423</v>
      </c>
    </row>
    <row r="107" spans="2:5" x14ac:dyDescent="0.25">
      <c r="B107" s="22" t="s">
        <v>76</v>
      </c>
      <c r="C107" s="7">
        <v>0</v>
      </c>
      <c r="D107" s="7">
        <v>75</v>
      </c>
      <c r="E107" s="8">
        <v>26</v>
      </c>
    </row>
    <row r="108" spans="2:5" x14ac:dyDescent="0.25">
      <c r="B108" s="22" t="s">
        <v>48</v>
      </c>
      <c r="C108" s="7">
        <v>8630</v>
      </c>
      <c r="D108" s="7">
        <v>11121</v>
      </c>
      <c r="E108" s="8">
        <v>11242</v>
      </c>
    </row>
    <row r="109" spans="2:5" x14ac:dyDescent="0.25">
      <c r="B109" s="22" t="s">
        <v>77</v>
      </c>
      <c r="C109" s="7">
        <v>-4212</v>
      </c>
      <c r="D109" s="7">
        <v>-4704</v>
      </c>
      <c r="E109" s="7">
        <v>-5958</v>
      </c>
    </row>
    <row r="110" spans="2:5" ht="15.75" thickBot="1" x14ac:dyDescent="0.3">
      <c r="B110" s="6" t="s">
        <v>52</v>
      </c>
      <c r="C110" s="7">
        <v>-2</v>
      </c>
      <c r="D110" s="7">
        <v>-4</v>
      </c>
      <c r="E110" s="8">
        <v>-4</v>
      </c>
    </row>
    <row r="111" spans="2:5" ht="15.75" thickBot="1" x14ac:dyDescent="0.3">
      <c r="B111" s="10" t="s">
        <v>72</v>
      </c>
      <c r="C111" s="16">
        <f>SUM(C106:C110)</f>
        <v>39935</v>
      </c>
      <c r="D111" s="16">
        <f t="shared" ref="D111:E111" si="12">SUM(D106:D110)</f>
        <v>46423</v>
      </c>
      <c r="E111" s="17">
        <f t="shared" si="12"/>
        <v>51729</v>
      </c>
    </row>
    <row r="112" spans="2:5" x14ac:dyDescent="0.25">
      <c r="B112" s="6"/>
      <c r="C112" s="7"/>
      <c r="D112" s="7"/>
      <c r="E112" s="8"/>
    </row>
    <row r="113" spans="2:5" x14ac:dyDescent="0.25">
      <c r="B113" s="3" t="s">
        <v>80</v>
      </c>
      <c r="C113" s="7"/>
      <c r="D113" s="7"/>
      <c r="E113" s="8"/>
    </row>
    <row r="114" spans="2:5" x14ac:dyDescent="0.25">
      <c r="B114" s="22" t="s">
        <v>70</v>
      </c>
      <c r="C114" s="37">
        <v>-867</v>
      </c>
      <c r="D114" s="37">
        <v>-566</v>
      </c>
      <c r="E114" s="38">
        <v>-772</v>
      </c>
    </row>
    <row r="115" spans="2:5" x14ac:dyDescent="0.25">
      <c r="B115" s="22" t="s">
        <v>76</v>
      </c>
      <c r="C115" s="7">
        <v>0</v>
      </c>
      <c r="D115" s="7">
        <v>0</v>
      </c>
      <c r="E115" s="8">
        <v>-31</v>
      </c>
    </row>
    <row r="116" spans="2:5" x14ac:dyDescent="0.25">
      <c r="B116" s="22" t="s">
        <v>65</v>
      </c>
      <c r="C116" s="7">
        <v>311</v>
      </c>
      <c r="D116" s="7">
        <v>-267</v>
      </c>
      <c r="E116" s="8">
        <v>53</v>
      </c>
    </row>
    <row r="117" spans="2:5" x14ac:dyDescent="0.25">
      <c r="B117" s="22" t="s">
        <v>66</v>
      </c>
      <c r="C117" s="37">
        <v>-1</v>
      </c>
      <c r="D117" s="37">
        <v>53</v>
      </c>
      <c r="E117" s="38">
        <v>8</v>
      </c>
    </row>
    <row r="118" spans="2:5" ht="15.75" thickBot="1" x14ac:dyDescent="0.3">
      <c r="B118" s="22" t="s">
        <v>52</v>
      </c>
      <c r="C118" s="37">
        <v>-9</v>
      </c>
      <c r="D118" s="37">
        <v>8</v>
      </c>
      <c r="E118" s="38">
        <v>3</v>
      </c>
    </row>
    <row r="119" spans="2:5" ht="15.75" thickBot="1" x14ac:dyDescent="0.3">
      <c r="B119" s="10" t="s">
        <v>72</v>
      </c>
      <c r="C119" s="40">
        <f>SUM(C114:C118)</f>
        <v>-566</v>
      </c>
      <c r="D119" s="40">
        <f t="shared" ref="D119:E119" si="13">SUM(D114:D118)</f>
        <v>-772</v>
      </c>
      <c r="E119" s="41">
        <f t="shared" si="13"/>
        <v>-739</v>
      </c>
    </row>
    <row r="120" spans="2:5" x14ac:dyDescent="0.25">
      <c r="B120" s="22"/>
      <c r="C120" s="37"/>
      <c r="D120" s="37"/>
      <c r="E120" s="38"/>
    </row>
    <row r="121" spans="2:5" x14ac:dyDescent="0.25">
      <c r="B121" s="39" t="s">
        <v>78</v>
      </c>
      <c r="C121" s="37"/>
      <c r="D121" s="37"/>
      <c r="E121" s="38"/>
    </row>
    <row r="122" spans="2:5" x14ac:dyDescent="0.25">
      <c r="B122" s="22" t="s">
        <v>70</v>
      </c>
      <c r="C122" s="37">
        <v>-40194</v>
      </c>
      <c r="D122" s="37">
        <v>-48196</v>
      </c>
      <c r="E122" s="38">
        <v>-58196</v>
      </c>
    </row>
    <row r="123" spans="2:5" ht="15.75" thickBot="1" x14ac:dyDescent="0.3">
      <c r="B123" s="22" t="s">
        <v>79</v>
      </c>
      <c r="C123" s="37">
        <v>-8002</v>
      </c>
      <c r="D123" s="37">
        <v>-10000</v>
      </c>
      <c r="E123" s="38">
        <v>-7000</v>
      </c>
    </row>
    <row r="124" spans="2:5" ht="15.75" thickBot="1" x14ac:dyDescent="0.3">
      <c r="B124" s="10" t="s">
        <v>72</v>
      </c>
      <c r="C124" s="40">
        <f>SUM(C122:C123)</f>
        <v>-48196</v>
      </c>
      <c r="D124" s="40">
        <f t="shared" ref="D124:E124" si="14">SUM(D122:D123)</f>
        <v>-58196</v>
      </c>
      <c r="E124" s="41">
        <f t="shared" si="14"/>
        <v>-65196</v>
      </c>
    </row>
    <row r="125" spans="2:5" x14ac:dyDescent="0.25">
      <c r="B125" s="31" t="s">
        <v>28</v>
      </c>
      <c r="C125" s="37">
        <f>SUM(C97,C103,C111,C119,C124)</f>
        <v>1454</v>
      </c>
      <c r="D125" s="37">
        <f t="shared" ref="D125:E125" si="15">SUM(D97,D103,D111,D119,D124)</f>
        <v>-1878</v>
      </c>
      <c r="E125" s="38">
        <f t="shared" si="15"/>
        <v>-3116</v>
      </c>
    </row>
    <row r="126" spans="2:5" ht="15.75" thickBot="1" x14ac:dyDescent="0.3">
      <c r="B126" s="23"/>
      <c r="C126" s="12"/>
      <c r="D126" s="12"/>
      <c r="E126" s="13"/>
    </row>
    <row r="129" spans="2:5" x14ac:dyDescent="0.25">
      <c r="B129" s="190" t="s">
        <v>81</v>
      </c>
      <c r="C129" s="190"/>
      <c r="D129" s="190"/>
    </row>
    <row r="130" spans="2:5" ht="15.75" thickBot="1" x14ac:dyDescent="0.3">
      <c r="B130" s="191"/>
      <c r="C130" s="191"/>
      <c r="D130" s="191"/>
    </row>
    <row r="131" spans="2:5" x14ac:dyDescent="0.25">
      <c r="B131" s="2"/>
      <c r="C131" s="24" t="s">
        <v>39</v>
      </c>
      <c r="D131" s="24" t="s">
        <v>39</v>
      </c>
      <c r="E131" s="25" t="s">
        <v>39</v>
      </c>
    </row>
    <row r="132" spans="2:5" ht="15.75" thickBot="1" x14ac:dyDescent="0.3">
      <c r="B132" s="6"/>
      <c r="C132" s="28">
        <v>2017</v>
      </c>
      <c r="D132" s="28">
        <v>2018</v>
      </c>
      <c r="E132" s="29">
        <v>2019</v>
      </c>
    </row>
    <row r="133" spans="2:5" x14ac:dyDescent="0.25">
      <c r="B133" s="3" t="s">
        <v>82</v>
      </c>
      <c r="C133" s="4"/>
      <c r="D133" s="4"/>
      <c r="E133" s="5"/>
    </row>
    <row r="134" spans="2:5" x14ac:dyDescent="0.25">
      <c r="B134" s="6" t="s">
        <v>48</v>
      </c>
      <c r="C134" s="7">
        <v>8630</v>
      </c>
      <c r="D134" s="7">
        <v>11121</v>
      </c>
      <c r="E134" s="8">
        <v>11242</v>
      </c>
    </row>
    <row r="135" spans="2:5" x14ac:dyDescent="0.25">
      <c r="B135" s="22" t="s">
        <v>83</v>
      </c>
      <c r="C135" s="7"/>
      <c r="D135" s="7"/>
      <c r="E135" s="8"/>
    </row>
    <row r="136" spans="2:5" x14ac:dyDescent="0.25">
      <c r="B136" s="10" t="s">
        <v>44</v>
      </c>
      <c r="C136" s="33">
        <v>2062</v>
      </c>
      <c r="D136" s="33">
        <v>2152</v>
      </c>
      <c r="E136" s="8">
        <v>2296</v>
      </c>
    </row>
    <row r="137" spans="2:5" x14ac:dyDescent="0.25">
      <c r="B137" s="10" t="s">
        <v>73</v>
      </c>
      <c r="C137" s="33">
        <v>273</v>
      </c>
      <c r="D137" s="33">
        <v>282</v>
      </c>
      <c r="E137" s="34">
        <v>251</v>
      </c>
    </row>
    <row r="138" spans="2:5" x14ac:dyDescent="0.25">
      <c r="B138" s="10" t="s">
        <v>45</v>
      </c>
      <c r="C138" s="20">
        <v>0</v>
      </c>
      <c r="D138" s="20">
        <v>247</v>
      </c>
      <c r="E138" s="34">
        <v>0</v>
      </c>
    </row>
    <row r="139" spans="2:5" x14ac:dyDescent="0.25">
      <c r="B139" s="10" t="s">
        <v>85</v>
      </c>
      <c r="C139" s="7">
        <v>139</v>
      </c>
      <c r="D139" s="7">
        <v>33</v>
      </c>
      <c r="E139" s="34">
        <v>-170</v>
      </c>
    </row>
    <row r="140" spans="2:5" x14ac:dyDescent="0.25">
      <c r="B140" s="10" t="s">
        <v>86</v>
      </c>
      <c r="C140" s="7">
        <v>-84</v>
      </c>
      <c r="D140" s="7">
        <v>-1244</v>
      </c>
      <c r="E140" s="8">
        <v>-593</v>
      </c>
    </row>
    <row r="141" spans="2:5" x14ac:dyDescent="0.25">
      <c r="B141" s="10" t="s">
        <v>87</v>
      </c>
      <c r="C141" s="7">
        <v>-10</v>
      </c>
      <c r="D141" s="7">
        <v>-257</v>
      </c>
      <c r="E141" s="8">
        <v>-135</v>
      </c>
    </row>
    <row r="142" spans="2:5" x14ac:dyDescent="0.25">
      <c r="B142" s="10" t="s">
        <v>88</v>
      </c>
      <c r="C142" s="7">
        <v>352</v>
      </c>
      <c r="D142" s="7">
        <v>743</v>
      </c>
      <c r="E142" s="8">
        <v>68</v>
      </c>
    </row>
    <row r="143" spans="2:5" x14ac:dyDescent="0.25">
      <c r="B143" s="10" t="s">
        <v>89</v>
      </c>
      <c r="C143" s="7">
        <v>128</v>
      </c>
      <c r="D143" s="7">
        <v>80</v>
      </c>
      <c r="E143" s="8">
        <v>334</v>
      </c>
    </row>
    <row r="144" spans="2:5" x14ac:dyDescent="0.25">
      <c r="B144" s="10" t="s">
        <v>91</v>
      </c>
      <c r="C144" s="7">
        <v>29</v>
      </c>
      <c r="D144" s="7">
        <v>-42</v>
      </c>
      <c r="E144" s="8">
        <v>44</v>
      </c>
    </row>
    <row r="145" spans="2:5" x14ac:dyDescent="0.25">
      <c r="B145" s="10" t="s">
        <v>92</v>
      </c>
      <c r="C145" s="7">
        <v>92</v>
      </c>
      <c r="D145" s="7">
        <v>26</v>
      </c>
      <c r="E145" s="8">
        <v>202</v>
      </c>
    </row>
    <row r="146" spans="2:5" ht="15.75" thickBot="1" x14ac:dyDescent="0.3">
      <c r="B146" s="10" t="s">
        <v>93</v>
      </c>
      <c r="C146" s="7">
        <v>420</v>
      </c>
      <c r="D146" s="7">
        <v>-103</v>
      </c>
      <c r="E146" s="8">
        <v>184</v>
      </c>
    </row>
    <row r="147" spans="2:5" ht="15.75" thickBot="1" x14ac:dyDescent="0.3">
      <c r="B147" s="11" t="s">
        <v>90</v>
      </c>
      <c r="C147" s="16">
        <f>SUM(C134:C146)</f>
        <v>12031</v>
      </c>
      <c r="D147" s="16">
        <f>SUM(D134:D146)</f>
        <v>13038</v>
      </c>
      <c r="E147" s="17">
        <f>SUM(E134:E146)</f>
        <v>13723</v>
      </c>
    </row>
    <row r="148" spans="2:5" x14ac:dyDescent="0.25">
      <c r="B148" s="6"/>
      <c r="C148" s="7"/>
      <c r="D148" s="7"/>
      <c r="E148" s="8"/>
    </row>
    <row r="149" spans="2:5" x14ac:dyDescent="0.25">
      <c r="B149" s="3" t="s">
        <v>94</v>
      </c>
      <c r="C149" s="7"/>
      <c r="D149" s="7"/>
      <c r="E149" s="8"/>
    </row>
    <row r="150" spans="2:5" x14ac:dyDescent="0.25">
      <c r="B150" s="6" t="s">
        <v>95</v>
      </c>
      <c r="C150" s="7">
        <v>-1897</v>
      </c>
      <c r="D150" s="7">
        <v>-2442</v>
      </c>
      <c r="E150" s="8">
        <v>-2678</v>
      </c>
    </row>
    <row r="151" spans="2:5" x14ac:dyDescent="0.25">
      <c r="B151" s="10" t="s">
        <v>96</v>
      </c>
      <c r="C151" s="7">
        <v>-374</v>
      </c>
      <c r="D151" s="7">
        <v>-21</v>
      </c>
      <c r="E151" s="8">
        <v>0</v>
      </c>
    </row>
    <row r="152" spans="2:5" x14ac:dyDescent="0.25">
      <c r="B152" s="10" t="s">
        <v>97</v>
      </c>
      <c r="C152" s="7">
        <v>47</v>
      </c>
      <c r="D152" s="7">
        <v>33</v>
      </c>
      <c r="E152" s="8">
        <v>37</v>
      </c>
    </row>
    <row r="153" spans="2:5" ht="15.75" thickBot="1" x14ac:dyDescent="0.3">
      <c r="B153" s="10" t="s">
        <v>98</v>
      </c>
      <c r="C153" s="7">
        <v>-4</v>
      </c>
      <c r="D153" s="7">
        <v>14</v>
      </c>
      <c r="E153" s="8">
        <v>-12</v>
      </c>
    </row>
    <row r="154" spans="2:5" ht="15.75" thickBot="1" x14ac:dyDescent="0.3">
      <c r="B154" s="10" t="s">
        <v>99</v>
      </c>
      <c r="C154" s="16">
        <f>SUM(C150:C153)</f>
        <v>-2228</v>
      </c>
      <c r="D154" s="16">
        <f>SUM(D150:D153)</f>
        <v>-2416</v>
      </c>
      <c r="E154" s="17">
        <f>SUM(E150:E153)</f>
        <v>-2653</v>
      </c>
    </row>
    <row r="155" spans="2:5" x14ac:dyDescent="0.25">
      <c r="B155" s="10"/>
      <c r="C155" s="7"/>
      <c r="D155" s="7"/>
      <c r="E155" s="8"/>
    </row>
    <row r="156" spans="2:5" x14ac:dyDescent="0.25">
      <c r="B156" s="39" t="s">
        <v>100</v>
      </c>
      <c r="C156" s="7"/>
      <c r="D156" s="7"/>
      <c r="E156" s="8"/>
    </row>
    <row r="157" spans="2:5" x14ac:dyDescent="0.25">
      <c r="B157" s="10" t="s">
        <v>101</v>
      </c>
      <c r="C157" s="7">
        <v>850</v>
      </c>
      <c r="D157" s="7">
        <v>-220</v>
      </c>
      <c r="E157" s="8">
        <v>-365</v>
      </c>
    </row>
    <row r="158" spans="2:5" x14ac:dyDescent="0.25">
      <c r="B158" s="10" t="s">
        <v>102</v>
      </c>
      <c r="C158" s="7">
        <v>2991</v>
      </c>
      <c r="D158" s="7">
        <v>3466</v>
      </c>
      <c r="E158" s="8">
        <v>3420</v>
      </c>
    </row>
    <row r="159" spans="2:5" x14ac:dyDescent="0.25">
      <c r="B159" s="10" t="s">
        <v>103</v>
      </c>
      <c r="C159" s="7">
        <v>-543</v>
      </c>
      <c r="D159" s="7">
        <v>-1209</v>
      </c>
      <c r="E159" s="8">
        <v>-1070</v>
      </c>
    </row>
    <row r="160" spans="2:5" x14ac:dyDescent="0.25">
      <c r="B160" s="10" t="s">
        <v>79</v>
      </c>
      <c r="C160" s="7">
        <v>-8000</v>
      </c>
      <c r="D160" s="7">
        <v>-9963</v>
      </c>
      <c r="E160" s="8">
        <v>-6965</v>
      </c>
    </row>
    <row r="161" spans="2:5" x14ac:dyDescent="0.25">
      <c r="B161" s="11" t="s">
        <v>77</v>
      </c>
      <c r="C161" s="7">
        <v>255</v>
      </c>
      <c r="D161" s="7">
        <v>236</v>
      </c>
      <c r="E161" s="8">
        <v>280</v>
      </c>
    </row>
    <row r="162" spans="2:5" x14ac:dyDescent="0.25">
      <c r="B162" s="22" t="s">
        <v>104</v>
      </c>
      <c r="C162" s="7">
        <v>-4212</v>
      </c>
      <c r="D162" s="7">
        <v>-4704</v>
      </c>
      <c r="E162" s="8">
        <v>-5958</v>
      </c>
    </row>
    <row r="163" spans="2:5" ht="15.75" thickBot="1" x14ac:dyDescent="0.3">
      <c r="B163" s="22" t="s">
        <v>105</v>
      </c>
      <c r="C163" s="7">
        <v>-211</v>
      </c>
      <c r="D163" s="7">
        <v>-26</v>
      </c>
      <c r="E163" s="8">
        <v>-176</v>
      </c>
    </row>
    <row r="164" spans="2:5" ht="15.75" thickBot="1" x14ac:dyDescent="0.3">
      <c r="B164" s="22" t="s">
        <v>106</v>
      </c>
      <c r="C164" s="16">
        <f>SUM(C157:C163)</f>
        <v>-8870</v>
      </c>
      <c r="D164" s="16">
        <f t="shared" ref="D164:E164" si="16">SUM(D157:D163)</f>
        <v>-12420</v>
      </c>
      <c r="E164" s="17">
        <f t="shared" si="16"/>
        <v>-10834</v>
      </c>
    </row>
    <row r="165" spans="2:5" x14ac:dyDescent="0.25">
      <c r="B165" s="22" t="s">
        <v>107</v>
      </c>
      <c r="C165" s="7">
        <v>933</v>
      </c>
      <c r="D165" s="7">
        <v>-1798</v>
      </c>
      <c r="E165" s="8">
        <v>236</v>
      </c>
    </row>
    <row r="166" spans="2:5" x14ac:dyDescent="0.25">
      <c r="B166" s="22" t="s">
        <v>108</v>
      </c>
      <c r="C166" s="7">
        <v>124</v>
      </c>
      <c r="D166" s="7">
        <v>-19</v>
      </c>
      <c r="E166" s="8">
        <v>119</v>
      </c>
    </row>
    <row r="167" spans="2:5" ht="15.75" thickBot="1" x14ac:dyDescent="0.3">
      <c r="B167" s="31" t="s">
        <v>109</v>
      </c>
      <c r="C167" s="7">
        <v>2538</v>
      </c>
      <c r="D167" s="7">
        <v>3595</v>
      </c>
      <c r="E167" s="8">
        <v>1778</v>
      </c>
    </row>
    <row r="168" spans="2:5" ht="15.75" thickBot="1" x14ac:dyDescent="0.3">
      <c r="B168" s="6"/>
      <c r="C168" s="14">
        <f>SUM(C165:C167)</f>
        <v>3595</v>
      </c>
      <c r="D168" s="14">
        <f t="shared" ref="D168:E168" si="17">SUM(D165:D167)</f>
        <v>1778</v>
      </c>
      <c r="E168" s="15">
        <f t="shared" si="17"/>
        <v>2133</v>
      </c>
    </row>
    <row r="169" spans="2:5" ht="15.75" thickTop="1" x14ac:dyDescent="0.25">
      <c r="B169" s="3" t="s">
        <v>110</v>
      </c>
      <c r="C169" s="7"/>
      <c r="D169" s="7"/>
      <c r="E169" s="8"/>
    </row>
    <row r="170" spans="2:5" x14ac:dyDescent="0.25">
      <c r="B170" s="6" t="s">
        <v>111</v>
      </c>
      <c r="C170" s="7"/>
      <c r="D170" s="7"/>
      <c r="E170" s="8"/>
    </row>
    <row r="171" spans="2:5" x14ac:dyDescent="0.25">
      <c r="B171" s="6" t="s">
        <v>112</v>
      </c>
      <c r="C171" s="7">
        <v>4732</v>
      </c>
      <c r="D171" s="7">
        <v>3774</v>
      </c>
      <c r="E171" s="8">
        <v>3220</v>
      </c>
    </row>
    <row r="172" spans="2:5" x14ac:dyDescent="0.25">
      <c r="B172" s="6" t="s">
        <v>113</v>
      </c>
      <c r="C172" s="7">
        <v>991</v>
      </c>
      <c r="D172" s="7">
        <v>1035</v>
      </c>
      <c r="E172" s="8">
        <v>1112</v>
      </c>
    </row>
    <row r="173" spans="2:5" ht="15.75" thickBot="1" x14ac:dyDescent="0.3">
      <c r="B173" s="23"/>
      <c r="C173" s="12">
        <v>150</v>
      </c>
      <c r="D173" s="12">
        <v>248</v>
      </c>
      <c r="E173" s="13">
        <v>136</v>
      </c>
    </row>
  </sheetData>
  <mergeCells count="5">
    <mergeCell ref="B91:E92"/>
    <mergeCell ref="B129:D130"/>
    <mergeCell ref="B2:D3"/>
    <mergeCell ref="B47:E48"/>
    <mergeCell ref="B77:E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A098-0F50-401F-8E26-5887AE89F4FD}">
  <dimension ref="B2:I135"/>
  <sheetViews>
    <sheetView topLeftCell="B46" zoomScale="90" zoomScaleNormal="90" workbookViewId="0">
      <selection activeCell="B57" sqref="B57"/>
    </sheetView>
  </sheetViews>
  <sheetFormatPr defaultRowHeight="15" x14ac:dyDescent="0.25"/>
  <cols>
    <col min="2" max="2" width="71.42578125" style="1" customWidth="1"/>
    <col min="3" max="4" width="15.42578125" customWidth="1"/>
    <col min="5" max="5" width="12.28515625" bestFit="1" customWidth="1"/>
    <col min="6" max="6" width="12.85546875" customWidth="1"/>
    <col min="7" max="7" width="14.28515625" customWidth="1"/>
    <col min="8" max="8" width="20.42578125" bestFit="1" customWidth="1"/>
    <col min="9" max="9" width="25.140625" bestFit="1" customWidth="1"/>
  </cols>
  <sheetData>
    <row r="2" spans="2:9" x14ac:dyDescent="0.25">
      <c r="B2" s="190" t="s">
        <v>38</v>
      </c>
      <c r="C2" s="190"/>
      <c r="D2" s="190"/>
    </row>
    <row r="3" spans="2:9" ht="15.75" thickBot="1" x14ac:dyDescent="0.3">
      <c r="B3" s="191"/>
      <c r="C3" s="191"/>
      <c r="D3" s="191"/>
    </row>
    <row r="4" spans="2:9" s="1" customFormat="1" ht="30" x14ac:dyDescent="0.25">
      <c r="B4" s="2"/>
      <c r="C4" s="42" t="s">
        <v>39</v>
      </c>
      <c r="D4" s="24" t="s">
        <v>39</v>
      </c>
      <c r="E4" s="25" t="s">
        <v>39</v>
      </c>
      <c r="F4" s="103" t="s">
        <v>126</v>
      </c>
      <c r="G4" s="103" t="s">
        <v>126</v>
      </c>
      <c r="H4" s="43" t="s">
        <v>118</v>
      </c>
      <c r="I4" s="51" t="s">
        <v>84</v>
      </c>
    </row>
    <row r="5" spans="2:9" s="1" customFormat="1" ht="15.75" thickBot="1" x14ac:dyDescent="0.3">
      <c r="B5" s="6"/>
      <c r="C5" s="83">
        <v>2017</v>
      </c>
      <c r="D5" s="28">
        <v>2018</v>
      </c>
      <c r="E5" s="29">
        <v>2019</v>
      </c>
      <c r="F5" s="105">
        <v>2020</v>
      </c>
      <c r="G5" s="105">
        <v>2021</v>
      </c>
      <c r="H5" s="50">
        <v>2021</v>
      </c>
      <c r="I5" s="52"/>
    </row>
    <row r="6" spans="2:9" x14ac:dyDescent="0.25">
      <c r="B6" s="3" t="s">
        <v>0</v>
      </c>
      <c r="C6" s="76"/>
      <c r="D6" s="4"/>
      <c r="E6" s="5"/>
      <c r="F6" s="131"/>
      <c r="G6" s="107"/>
      <c r="H6" s="44"/>
      <c r="I6" s="53"/>
    </row>
    <row r="7" spans="2:9" x14ac:dyDescent="0.25">
      <c r="B7" s="6" t="s">
        <v>30</v>
      </c>
      <c r="C7" s="75"/>
      <c r="D7" s="7"/>
      <c r="E7" s="8"/>
      <c r="F7" s="110"/>
      <c r="G7" s="107"/>
      <c r="H7" s="44"/>
      <c r="I7" s="53"/>
    </row>
    <row r="8" spans="2:9" x14ac:dyDescent="0.25">
      <c r="B8" s="10" t="s">
        <v>1</v>
      </c>
      <c r="C8" s="77"/>
      <c r="D8" s="7">
        <f>D130</f>
        <v>1778</v>
      </c>
      <c r="E8" s="7">
        <f t="shared" ref="E8:H8" si="0">E130</f>
        <v>2133</v>
      </c>
      <c r="F8" s="132">
        <f t="shared" si="0"/>
        <v>2502</v>
      </c>
      <c r="G8" s="123">
        <f t="shared" si="0"/>
        <v>2137.666666666667</v>
      </c>
      <c r="H8" s="85">
        <f t="shared" si="0"/>
        <v>2565.1999999999998</v>
      </c>
      <c r="I8" s="86" t="s">
        <v>137</v>
      </c>
    </row>
    <row r="9" spans="2:9" x14ac:dyDescent="0.25">
      <c r="B9" s="10" t="s">
        <v>2</v>
      </c>
      <c r="C9" s="77"/>
      <c r="D9" s="20">
        <v>1936</v>
      </c>
      <c r="E9" s="21">
        <v>2106</v>
      </c>
      <c r="F9" s="115">
        <f>AVERAGE(D9:E9)</f>
        <v>2021</v>
      </c>
      <c r="G9" s="115">
        <f>AVERAGE(E9:F9)</f>
        <v>2063.5</v>
      </c>
      <c r="H9" s="44">
        <f>G9+(0.2*G9)</f>
        <v>2476.1999999999998</v>
      </c>
      <c r="I9" s="53" t="s">
        <v>119</v>
      </c>
    </row>
    <row r="10" spans="2:9" x14ac:dyDescent="0.25">
      <c r="B10" s="10" t="s">
        <v>3</v>
      </c>
      <c r="C10" s="77"/>
      <c r="D10" s="20">
        <v>13925</v>
      </c>
      <c r="E10" s="21">
        <v>14531</v>
      </c>
      <c r="F10" s="115">
        <f t="shared" ref="F10:G11" si="1">AVERAGE(D10:E10)</f>
        <v>14228</v>
      </c>
      <c r="G10" s="115">
        <f t="shared" si="1"/>
        <v>14379.5</v>
      </c>
      <c r="H10" s="44">
        <f>G10</f>
        <v>14379.5</v>
      </c>
      <c r="I10" s="53" t="s">
        <v>121</v>
      </c>
    </row>
    <row r="11" spans="2:9" ht="15.75" thickBot="1" x14ac:dyDescent="0.3">
      <c r="B11" s="10" t="s">
        <v>4</v>
      </c>
      <c r="C11" s="77"/>
      <c r="D11" s="20">
        <v>890</v>
      </c>
      <c r="E11" s="21">
        <v>1040</v>
      </c>
      <c r="F11" s="115">
        <f t="shared" si="1"/>
        <v>965</v>
      </c>
      <c r="G11" s="115">
        <f t="shared" si="1"/>
        <v>1002.5</v>
      </c>
      <c r="H11" s="44">
        <f>1.094*G11</f>
        <v>1096.7350000000001</v>
      </c>
      <c r="I11" s="53" t="s">
        <v>142</v>
      </c>
    </row>
    <row r="12" spans="2:9" ht="15.75" thickBot="1" x14ac:dyDescent="0.3">
      <c r="B12" s="11" t="s">
        <v>5</v>
      </c>
      <c r="C12" s="78"/>
      <c r="D12" s="16">
        <f>SUM(D8:D11)</f>
        <v>18529</v>
      </c>
      <c r="E12" s="17">
        <f>SUM(E8:E11)</f>
        <v>19810</v>
      </c>
      <c r="F12" s="109">
        <f t="shared" ref="F12:G12" si="2">SUM(F8:F11)</f>
        <v>19716</v>
      </c>
      <c r="G12" s="124">
        <f t="shared" si="2"/>
        <v>19583.166666666668</v>
      </c>
      <c r="H12" s="63">
        <f t="shared" ref="H12" si="3">SUM(H8:H11)</f>
        <v>20517.635000000002</v>
      </c>
      <c r="I12" s="57"/>
    </row>
    <row r="13" spans="2:9" x14ac:dyDescent="0.25">
      <c r="B13" s="6" t="s">
        <v>6</v>
      </c>
      <c r="C13" s="75"/>
      <c r="D13" s="7">
        <v>22375</v>
      </c>
      <c r="E13" s="8">
        <v>22770</v>
      </c>
      <c r="F13" s="115">
        <f t="shared" ref="F13" si="4">AVERAGE(D13:E13)</f>
        <v>22572.5</v>
      </c>
      <c r="G13" s="115">
        <f t="shared" ref="G13" si="5">AVERAGE(E13:F13)</f>
        <v>22671.25</v>
      </c>
      <c r="H13" s="44">
        <f>G13</f>
        <v>22671.25</v>
      </c>
      <c r="I13" s="53" t="s">
        <v>121</v>
      </c>
    </row>
    <row r="14" spans="2:9" x14ac:dyDescent="0.25">
      <c r="B14" s="6" t="s">
        <v>7</v>
      </c>
      <c r="C14" s="75"/>
      <c r="D14" s="7">
        <v>0</v>
      </c>
      <c r="E14" s="8">
        <v>5595</v>
      </c>
      <c r="F14" s="115">
        <f t="shared" ref="F14:F16" si="6">AVERAGE(D14:E14)</f>
        <v>2797.5</v>
      </c>
      <c r="G14" s="115">
        <f t="shared" ref="G14:G16" si="7">AVERAGE(E14:F14)</f>
        <v>4196.25</v>
      </c>
      <c r="H14" s="44">
        <f>G14</f>
        <v>4196.25</v>
      </c>
      <c r="I14" s="53" t="s">
        <v>121</v>
      </c>
    </row>
    <row r="15" spans="2:9" x14ac:dyDescent="0.25">
      <c r="B15" s="6" t="s">
        <v>8</v>
      </c>
      <c r="C15" s="75"/>
      <c r="D15" s="7">
        <v>2252</v>
      </c>
      <c r="E15" s="8">
        <v>2254</v>
      </c>
      <c r="F15" s="115">
        <f t="shared" si="6"/>
        <v>2253</v>
      </c>
      <c r="G15" s="115">
        <f t="shared" si="7"/>
        <v>2253.5</v>
      </c>
      <c r="H15" s="44">
        <f>G15</f>
        <v>2253.5</v>
      </c>
      <c r="I15" s="53" t="s">
        <v>121</v>
      </c>
    </row>
    <row r="16" spans="2:9" ht="15.75" thickBot="1" x14ac:dyDescent="0.3">
      <c r="B16" s="6" t="s">
        <v>9</v>
      </c>
      <c r="C16" s="75"/>
      <c r="D16" s="7">
        <v>847</v>
      </c>
      <c r="E16" s="8">
        <v>807</v>
      </c>
      <c r="F16" s="114">
        <f t="shared" si="6"/>
        <v>827</v>
      </c>
      <c r="G16" s="114">
        <f t="shared" si="7"/>
        <v>817</v>
      </c>
      <c r="H16" s="44">
        <f>G16</f>
        <v>817</v>
      </c>
      <c r="I16" s="53" t="s">
        <v>121</v>
      </c>
    </row>
    <row r="17" spans="2:9" ht="15.75" thickBot="1" x14ac:dyDescent="0.3">
      <c r="B17" s="30" t="s">
        <v>10</v>
      </c>
      <c r="C17" s="79"/>
      <c r="D17" s="14">
        <f>SUM(D12,D13:D16)</f>
        <v>44003</v>
      </c>
      <c r="E17" s="15">
        <f>SUM(E12,E13:E16)</f>
        <v>51236</v>
      </c>
      <c r="F17" s="111">
        <f t="shared" ref="F17:G17" si="8">SUM(F12,F13:F16)</f>
        <v>48166</v>
      </c>
      <c r="G17" s="125">
        <f t="shared" si="8"/>
        <v>49521.166666666672</v>
      </c>
      <c r="H17" s="64">
        <f t="shared" ref="H17" si="9">SUM(H12,H13:H16)</f>
        <v>50455.635000000002</v>
      </c>
      <c r="I17" s="58"/>
    </row>
    <row r="18" spans="2:9" ht="15.75" thickTop="1" x14ac:dyDescent="0.25">
      <c r="B18" s="6"/>
      <c r="C18" s="75"/>
      <c r="D18" s="7"/>
      <c r="E18" s="8"/>
      <c r="F18" s="133"/>
      <c r="G18" s="107"/>
      <c r="H18" s="44"/>
      <c r="I18" s="53"/>
    </row>
    <row r="19" spans="2:9" x14ac:dyDescent="0.25">
      <c r="B19" s="3" t="s">
        <v>11</v>
      </c>
      <c r="C19" s="76"/>
      <c r="D19" s="7"/>
      <c r="E19" s="8"/>
      <c r="F19" s="110"/>
      <c r="G19" s="107"/>
      <c r="H19" s="44"/>
      <c r="I19" s="53"/>
    </row>
    <row r="20" spans="2:9" x14ac:dyDescent="0.25">
      <c r="B20" s="6" t="s">
        <v>31</v>
      </c>
      <c r="C20" s="75"/>
      <c r="D20" s="7"/>
      <c r="E20" s="8"/>
      <c r="F20" s="110"/>
      <c r="G20" s="107"/>
      <c r="H20" s="44"/>
      <c r="I20" s="53"/>
    </row>
    <row r="21" spans="2:9" x14ac:dyDescent="0.25">
      <c r="B21" s="10" t="s">
        <v>12</v>
      </c>
      <c r="C21" s="77"/>
      <c r="D21" s="7">
        <v>1339</v>
      </c>
      <c r="E21" s="8">
        <v>974</v>
      </c>
      <c r="F21" s="115">
        <f t="shared" ref="F21" si="10">AVERAGE(D21:E21)</f>
        <v>1156.5</v>
      </c>
      <c r="G21" s="115">
        <f t="shared" ref="G21" si="11">AVERAGE(E21:F21)</f>
        <v>1065.25</v>
      </c>
      <c r="H21" s="44">
        <f>1.25*G21</f>
        <v>1331.5625</v>
      </c>
      <c r="I21" s="53" t="s">
        <v>138</v>
      </c>
    </row>
    <row r="22" spans="2:9" x14ac:dyDescent="0.25">
      <c r="B22" s="10" t="s">
        <v>13</v>
      </c>
      <c r="C22" s="77"/>
      <c r="D22" s="7">
        <v>7755</v>
      </c>
      <c r="E22" s="8">
        <v>7787</v>
      </c>
      <c r="F22" s="115">
        <f t="shared" ref="F22:F29" si="12">AVERAGE(D22:E22)</f>
        <v>7771</v>
      </c>
      <c r="G22" s="115">
        <f t="shared" ref="G22:G29" si="13">AVERAGE(E22:F22)</f>
        <v>7779</v>
      </c>
      <c r="H22" s="44">
        <f>1.3*G22</f>
        <v>10112.700000000001</v>
      </c>
      <c r="I22" s="53" t="s">
        <v>139</v>
      </c>
    </row>
    <row r="23" spans="2:9" x14ac:dyDescent="0.25">
      <c r="B23" s="10" t="s">
        <v>14</v>
      </c>
      <c r="C23" s="77"/>
      <c r="D23" s="7">
        <v>1506</v>
      </c>
      <c r="E23" s="8">
        <v>1494</v>
      </c>
      <c r="F23" s="115">
        <f t="shared" si="12"/>
        <v>1500</v>
      </c>
      <c r="G23" s="115">
        <f t="shared" si="13"/>
        <v>1497</v>
      </c>
      <c r="H23" s="44">
        <f>G23+(0.2*G23)</f>
        <v>1796.4</v>
      </c>
      <c r="I23" s="53" t="s">
        <v>119</v>
      </c>
    </row>
    <row r="24" spans="2:9" x14ac:dyDescent="0.25">
      <c r="B24" s="10" t="s">
        <v>15</v>
      </c>
      <c r="C24" s="77"/>
      <c r="D24" s="7">
        <v>656</v>
      </c>
      <c r="E24" s="8">
        <v>605</v>
      </c>
      <c r="F24" s="115">
        <f t="shared" si="12"/>
        <v>630.5</v>
      </c>
      <c r="G24" s="115">
        <f t="shared" si="13"/>
        <v>617.75</v>
      </c>
      <c r="H24" s="44">
        <f>G24</f>
        <v>617.75</v>
      </c>
      <c r="I24" s="53" t="s">
        <v>121</v>
      </c>
    </row>
    <row r="25" spans="2:9" x14ac:dyDescent="0.25">
      <c r="B25" s="10" t="s">
        <v>16</v>
      </c>
      <c r="C25" s="77"/>
      <c r="D25" s="7">
        <v>1782</v>
      </c>
      <c r="E25" s="8">
        <v>2116</v>
      </c>
      <c r="F25" s="115">
        <f t="shared" si="12"/>
        <v>1949</v>
      </c>
      <c r="G25" s="115">
        <f t="shared" si="13"/>
        <v>2032.5</v>
      </c>
      <c r="H25" s="44">
        <f>G25+(0.25*G25)</f>
        <v>2540.625</v>
      </c>
      <c r="I25" s="53" t="s">
        <v>138</v>
      </c>
    </row>
    <row r="26" spans="2:9" x14ac:dyDescent="0.25">
      <c r="B26" s="10" t="s">
        <v>17</v>
      </c>
      <c r="C26" s="77"/>
      <c r="D26" s="7">
        <v>11</v>
      </c>
      <c r="E26" s="8">
        <v>55</v>
      </c>
      <c r="F26" s="115">
        <f t="shared" si="12"/>
        <v>33</v>
      </c>
      <c r="G26" s="115">
        <f t="shared" si="13"/>
        <v>44</v>
      </c>
      <c r="H26" s="44">
        <f>G26</f>
        <v>44</v>
      </c>
      <c r="I26" s="53" t="s">
        <v>121</v>
      </c>
    </row>
    <row r="27" spans="2:9" x14ac:dyDescent="0.25">
      <c r="B27" s="10" t="s">
        <v>18</v>
      </c>
      <c r="C27" s="77"/>
      <c r="D27" s="7">
        <v>1056</v>
      </c>
      <c r="E27" s="8">
        <v>1839</v>
      </c>
      <c r="F27" s="115">
        <f t="shared" si="12"/>
        <v>1447.5</v>
      </c>
      <c r="G27" s="115">
        <f t="shared" si="13"/>
        <v>1643.25</v>
      </c>
      <c r="H27" s="44">
        <f>G27</f>
        <v>1643.25</v>
      </c>
      <c r="I27" s="53" t="s">
        <v>121</v>
      </c>
    </row>
    <row r="28" spans="2:9" x14ac:dyDescent="0.25">
      <c r="B28" s="10" t="s">
        <v>19</v>
      </c>
      <c r="C28" s="77"/>
      <c r="D28" s="7">
        <v>0</v>
      </c>
      <c r="E28" s="8">
        <v>828</v>
      </c>
      <c r="F28" s="115">
        <f t="shared" si="12"/>
        <v>414</v>
      </c>
      <c r="G28" s="115">
        <f t="shared" si="13"/>
        <v>621</v>
      </c>
      <c r="H28" s="44">
        <f>1.2*G28</f>
        <v>745.19999999999993</v>
      </c>
      <c r="I28" s="53" t="s">
        <v>119</v>
      </c>
    </row>
    <row r="29" spans="2:9" ht="15.75" thickBot="1" x14ac:dyDescent="0.3">
      <c r="B29" s="10" t="s">
        <v>34</v>
      </c>
      <c r="C29" s="77"/>
      <c r="D29" s="7">
        <v>2611</v>
      </c>
      <c r="E29" s="8">
        <v>2677</v>
      </c>
      <c r="F29" s="115">
        <f t="shared" si="12"/>
        <v>2644</v>
      </c>
      <c r="G29" s="115">
        <f t="shared" si="13"/>
        <v>2660.5</v>
      </c>
      <c r="H29" s="44">
        <f>G29+(0.2*G29)</f>
        <v>3192.6</v>
      </c>
      <c r="I29" s="53" t="s">
        <v>119</v>
      </c>
    </row>
    <row r="30" spans="2:9" ht="15.75" thickBot="1" x14ac:dyDescent="0.3">
      <c r="B30" s="11" t="s">
        <v>35</v>
      </c>
      <c r="C30" s="78"/>
      <c r="D30" s="16">
        <f>SUM(D19:D29)</f>
        <v>16716</v>
      </c>
      <c r="E30" s="17">
        <f>SUM(E19:E29)</f>
        <v>18375</v>
      </c>
      <c r="F30" s="109">
        <f t="shared" ref="F30:G30" si="14">SUM(F19:F29)</f>
        <v>17545.5</v>
      </c>
      <c r="G30" s="124">
        <f t="shared" si="14"/>
        <v>17960.25</v>
      </c>
      <c r="H30" s="63">
        <f t="shared" ref="H30" si="15">SUM(H19:H29)</f>
        <v>22024.087499999998</v>
      </c>
      <c r="I30" s="57"/>
    </row>
    <row r="31" spans="2:9" x14ac:dyDescent="0.25">
      <c r="B31" s="22" t="s">
        <v>20</v>
      </c>
      <c r="C31" s="80"/>
      <c r="D31" s="7">
        <v>26807</v>
      </c>
      <c r="E31" s="8">
        <v>28670</v>
      </c>
      <c r="F31" s="115">
        <f t="shared" ref="F31" si="16">AVERAGE(D31:E31)</f>
        <v>27738.5</v>
      </c>
      <c r="G31" s="115">
        <f t="shared" ref="G31" si="17">AVERAGE(E31:F31)</f>
        <v>28204.25</v>
      </c>
      <c r="H31" s="44">
        <f>1.3*G31</f>
        <v>36665.525000000001</v>
      </c>
      <c r="I31" s="53" t="s">
        <v>140</v>
      </c>
    </row>
    <row r="32" spans="2:9" x14ac:dyDescent="0.25">
      <c r="B32" s="22" t="s">
        <v>21</v>
      </c>
      <c r="C32" s="80"/>
      <c r="D32" s="7">
        <v>0</v>
      </c>
      <c r="E32" s="8">
        <v>5066</v>
      </c>
      <c r="F32" s="115">
        <f t="shared" ref="F32:F34" si="18">AVERAGE(D32:E32)</f>
        <v>2533</v>
      </c>
      <c r="G32" s="115">
        <f t="shared" ref="G32:G34" si="19">AVERAGE(E32:F32)</f>
        <v>3799.5</v>
      </c>
      <c r="H32" s="44">
        <f>1.3*G32</f>
        <v>4939.3500000000004</v>
      </c>
      <c r="I32" s="53" t="s">
        <v>140</v>
      </c>
    </row>
    <row r="33" spans="2:9" x14ac:dyDescent="0.25">
      <c r="B33" s="22" t="s">
        <v>22</v>
      </c>
      <c r="C33" s="80"/>
      <c r="D33" s="7">
        <v>491</v>
      </c>
      <c r="E33" s="8">
        <v>706</v>
      </c>
      <c r="F33" s="115">
        <f t="shared" si="18"/>
        <v>598.5</v>
      </c>
      <c r="G33" s="115">
        <f t="shared" si="19"/>
        <v>652.25</v>
      </c>
      <c r="H33" s="44">
        <f>1.3*G33</f>
        <v>847.92500000000007</v>
      </c>
      <c r="I33" s="53" t="s">
        <v>139</v>
      </c>
    </row>
    <row r="34" spans="2:9" ht="15.75" thickBot="1" x14ac:dyDescent="0.3">
      <c r="B34" s="22" t="s">
        <v>23</v>
      </c>
      <c r="C34" s="80"/>
      <c r="D34" s="7">
        <v>1867</v>
      </c>
      <c r="E34" s="8">
        <v>1535</v>
      </c>
      <c r="F34" s="115">
        <f t="shared" si="18"/>
        <v>1701</v>
      </c>
      <c r="G34" s="115">
        <f t="shared" si="19"/>
        <v>1618</v>
      </c>
      <c r="H34" s="44">
        <f>1.32*G34</f>
        <v>2135.7600000000002</v>
      </c>
      <c r="I34" s="53" t="s">
        <v>141</v>
      </c>
    </row>
    <row r="35" spans="2:9" ht="15.75" thickBot="1" x14ac:dyDescent="0.3">
      <c r="B35" s="31" t="s">
        <v>24</v>
      </c>
      <c r="C35" s="81"/>
      <c r="D35" s="14">
        <f>SUM(D30:D34)</f>
        <v>45881</v>
      </c>
      <c r="E35" s="15">
        <f>SUM(E30:E34)</f>
        <v>54352</v>
      </c>
      <c r="F35" s="111">
        <f t="shared" ref="F35:G35" si="20">SUM(F30:F34)</f>
        <v>50116.5</v>
      </c>
      <c r="G35" s="125">
        <f t="shared" si="20"/>
        <v>52234.25</v>
      </c>
      <c r="H35" s="64">
        <f t="shared" ref="H35" si="21">SUM(H30:H34)</f>
        <v>66612.647500000006</v>
      </c>
      <c r="I35" s="58"/>
    </row>
    <row r="36" spans="2:9" ht="15.75" thickTop="1" x14ac:dyDescent="0.25">
      <c r="B36" s="6"/>
      <c r="C36" s="75"/>
      <c r="D36" s="7"/>
      <c r="E36" s="8"/>
      <c r="F36" s="133"/>
      <c r="G36" s="107"/>
      <c r="H36" s="44"/>
      <c r="I36" s="53"/>
    </row>
    <row r="37" spans="2:9" ht="45" x14ac:dyDescent="0.25">
      <c r="B37" s="6" t="s">
        <v>25</v>
      </c>
      <c r="C37" s="75"/>
      <c r="D37" s="7">
        <v>89</v>
      </c>
      <c r="E37" s="8">
        <v>89</v>
      </c>
      <c r="F37" s="114">
        <f t="shared" ref="F37" si="22">AVERAGE(D37:E37)</f>
        <v>89</v>
      </c>
      <c r="G37" s="114">
        <f t="shared" ref="G37" si="23">AVERAGE(E37:F37)</f>
        <v>89</v>
      </c>
      <c r="H37" s="44">
        <f>G37</f>
        <v>89</v>
      </c>
      <c r="I37" s="53" t="s">
        <v>121</v>
      </c>
    </row>
    <row r="38" spans="2:9" x14ac:dyDescent="0.25">
      <c r="B38" s="6" t="s">
        <v>26</v>
      </c>
      <c r="C38" s="75"/>
      <c r="D38" s="7">
        <v>10578</v>
      </c>
      <c r="E38" s="8">
        <v>11001</v>
      </c>
      <c r="F38" s="114">
        <f t="shared" ref="F38:F41" si="24">AVERAGE(D38:E38)</f>
        <v>10789.5</v>
      </c>
      <c r="G38" s="114">
        <f t="shared" ref="G38:G41" si="25">AVERAGE(E38:F38)</f>
        <v>10895.25</v>
      </c>
      <c r="H38" s="44">
        <f>G38</f>
        <v>10895.25</v>
      </c>
      <c r="I38" s="53" t="s">
        <v>121</v>
      </c>
    </row>
    <row r="39" spans="2:9" x14ac:dyDescent="0.25">
      <c r="B39" s="6" t="s">
        <v>27</v>
      </c>
      <c r="C39" s="75"/>
      <c r="D39" s="7">
        <v>46423</v>
      </c>
      <c r="E39" s="8">
        <v>51729</v>
      </c>
      <c r="F39" s="114">
        <f t="shared" si="24"/>
        <v>49076</v>
      </c>
      <c r="G39" s="114">
        <f t="shared" si="25"/>
        <v>50402.5</v>
      </c>
      <c r="H39" s="44">
        <f>0.8*G39</f>
        <v>40322</v>
      </c>
      <c r="I39" s="53" t="s">
        <v>125</v>
      </c>
    </row>
    <row r="40" spans="2:9" x14ac:dyDescent="0.25">
      <c r="B40" s="6" t="s">
        <v>32</v>
      </c>
      <c r="C40" s="75"/>
      <c r="D40" s="7">
        <v>-722</v>
      </c>
      <c r="E40" s="8">
        <v>-739</v>
      </c>
      <c r="F40" s="114">
        <f t="shared" si="24"/>
        <v>-730.5</v>
      </c>
      <c r="G40" s="114">
        <f t="shared" si="25"/>
        <v>-734.75</v>
      </c>
      <c r="H40" s="44">
        <f>1.15*G40</f>
        <v>-844.96249999999998</v>
      </c>
      <c r="I40" s="53" t="s">
        <v>127</v>
      </c>
    </row>
    <row r="41" spans="2:9" ht="30.75" thickBot="1" x14ac:dyDescent="0.3">
      <c r="B41" s="6" t="s">
        <v>33</v>
      </c>
      <c r="C41" s="75"/>
      <c r="D41" s="7">
        <v>-58196</v>
      </c>
      <c r="E41" s="8">
        <v>-65196</v>
      </c>
      <c r="F41" s="114">
        <f t="shared" si="24"/>
        <v>-61696</v>
      </c>
      <c r="G41" s="114">
        <f t="shared" si="25"/>
        <v>-63446</v>
      </c>
      <c r="H41" s="44">
        <f>1.05*G41</f>
        <v>-66618.3</v>
      </c>
      <c r="I41" s="53" t="s">
        <v>122</v>
      </c>
    </row>
    <row r="42" spans="2:9" ht="15.75" thickBot="1" x14ac:dyDescent="0.3">
      <c r="B42" s="30" t="s">
        <v>28</v>
      </c>
      <c r="C42" s="79"/>
      <c r="D42" s="16">
        <f>SUM(D37:D41)</f>
        <v>-1828</v>
      </c>
      <c r="E42" s="17">
        <f>SUM(E37:E41)</f>
        <v>-3116</v>
      </c>
      <c r="F42" s="124">
        <f t="shared" ref="F42:H42" si="26">SUM(F37:F41)</f>
        <v>-2472</v>
      </c>
      <c r="G42" s="124">
        <f t="shared" si="26"/>
        <v>-2794</v>
      </c>
      <c r="H42" s="63">
        <f t="shared" si="26"/>
        <v>-16157.012500000004</v>
      </c>
      <c r="I42" s="84"/>
    </row>
    <row r="43" spans="2:9" ht="15.75" thickBot="1" x14ac:dyDescent="0.3">
      <c r="B43" s="30" t="s">
        <v>29</v>
      </c>
      <c r="C43" s="79"/>
      <c r="D43" s="14">
        <f>SUM(D35,D42)</f>
        <v>44053</v>
      </c>
      <c r="E43" s="15">
        <f>SUM(E35,E42)</f>
        <v>51236</v>
      </c>
      <c r="F43" s="111">
        <f t="shared" ref="F43:G43" si="27">SUM(F35,F42)</f>
        <v>47644.5</v>
      </c>
      <c r="G43" s="125">
        <f t="shared" si="27"/>
        <v>49440.25</v>
      </c>
      <c r="H43" s="64">
        <f t="shared" ref="H43" si="28">SUM(H35,H42)</f>
        <v>50455.635000000002</v>
      </c>
      <c r="I43" s="58"/>
    </row>
    <row r="44" spans="2:9" ht="16.5" thickTop="1" thickBot="1" x14ac:dyDescent="0.3">
      <c r="B44" s="23"/>
      <c r="C44" s="82"/>
      <c r="D44" s="12"/>
      <c r="E44" s="13"/>
      <c r="F44" s="134"/>
      <c r="G44" s="113"/>
      <c r="H44" s="61"/>
      <c r="I44" s="62"/>
    </row>
    <row r="47" spans="2:9" ht="15" customHeight="1" x14ac:dyDescent="0.25">
      <c r="B47" s="190" t="s">
        <v>61</v>
      </c>
      <c r="C47" s="190"/>
      <c r="D47" s="190"/>
      <c r="E47" s="190"/>
    </row>
    <row r="48" spans="2:9" ht="15.75" customHeight="1" thickBot="1" x14ac:dyDescent="0.3">
      <c r="B48" s="191"/>
      <c r="C48" s="191"/>
      <c r="D48" s="191"/>
      <c r="E48" s="191"/>
    </row>
    <row r="49" spans="2:9" ht="30" x14ac:dyDescent="0.25">
      <c r="B49" s="2"/>
      <c r="C49" s="24" t="s">
        <v>39</v>
      </c>
      <c r="D49" s="24" t="s">
        <v>39</v>
      </c>
      <c r="E49" s="25" t="s">
        <v>39</v>
      </c>
      <c r="F49" s="102" t="s">
        <v>115</v>
      </c>
      <c r="G49" s="103" t="s">
        <v>115</v>
      </c>
      <c r="H49" s="43" t="s">
        <v>118</v>
      </c>
      <c r="I49" s="51" t="s">
        <v>84</v>
      </c>
    </row>
    <row r="50" spans="2:9" ht="15.75" thickBot="1" x14ac:dyDescent="0.3">
      <c r="B50" s="6"/>
      <c r="C50" s="28">
        <v>2017</v>
      </c>
      <c r="D50" s="28">
        <v>2018</v>
      </c>
      <c r="E50" s="29">
        <v>2019</v>
      </c>
      <c r="F50" s="104">
        <v>2020</v>
      </c>
      <c r="G50" s="105">
        <v>2021</v>
      </c>
      <c r="H50" s="50">
        <v>2021</v>
      </c>
      <c r="I50" s="52"/>
    </row>
    <row r="51" spans="2:9" x14ac:dyDescent="0.25">
      <c r="B51" s="22" t="s">
        <v>40</v>
      </c>
      <c r="C51" s="7">
        <v>100904</v>
      </c>
      <c r="D51" s="7">
        <v>108203</v>
      </c>
      <c r="E51" s="8">
        <v>110225</v>
      </c>
      <c r="F51" s="106">
        <f>AVERAGE(C51:E51)</f>
        <v>106444</v>
      </c>
      <c r="G51" s="107">
        <f>AVERAGE(D51:F51)</f>
        <v>108290.66666666667</v>
      </c>
      <c r="H51" s="44">
        <f>G51+(0.2*G51)</f>
        <v>129948.8</v>
      </c>
      <c r="I51" s="53" t="s">
        <v>119</v>
      </c>
    </row>
    <row r="52" spans="2:9" ht="15.75" thickBot="1" x14ac:dyDescent="0.3">
      <c r="B52" s="22" t="s">
        <v>41</v>
      </c>
      <c r="C52" s="33">
        <v>66548</v>
      </c>
      <c r="D52" s="33">
        <v>71043</v>
      </c>
      <c r="E52" s="34">
        <v>72653</v>
      </c>
      <c r="F52" s="106">
        <f>AVERAGE(C52:E52)</f>
        <v>70081.333333333328</v>
      </c>
      <c r="G52" s="107">
        <f>AVERAGE(D52:F52)</f>
        <v>71259.111111111109</v>
      </c>
      <c r="H52" s="44">
        <f>G52+(0.05*G52)</f>
        <v>74822.066666666666</v>
      </c>
      <c r="I52" s="53" t="s">
        <v>120</v>
      </c>
    </row>
    <row r="53" spans="2:9" ht="15.75" thickBot="1" x14ac:dyDescent="0.3">
      <c r="B53" s="31" t="s">
        <v>42</v>
      </c>
      <c r="C53" s="35">
        <f>C51-C52</f>
        <v>34356</v>
      </c>
      <c r="D53" s="32">
        <f t="shared" ref="D53:F53" si="29">D51-D52</f>
        <v>37160</v>
      </c>
      <c r="E53" s="36">
        <f t="shared" si="29"/>
        <v>37572</v>
      </c>
      <c r="F53" s="108">
        <f t="shared" si="29"/>
        <v>36362.666666666672</v>
      </c>
      <c r="G53" s="108">
        <f t="shared" ref="G53" si="30">G51-G52</f>
        <v>37031.555555555562</v>
      </c>
      <c r="H53" s="45">
        <f t="shared" ref="H53" si="31">H51-H52</f>
        <v>55126.733333333337</v>
      </c>
      <c r="I53" s="54"/>
    </row>
    <row r="54" spans="2:9" x14ac:dyDescent="0.25">
      <c r="B54" s="22" t="s">
        <v>60</v>
      </c>
      <c r="C54" s="20"/>
      <c r="D54" s="20"/>
      <c r="E54" s="21"/>
      <c r="F54" s="106"/>
      <c r="G54" s="107"/>
      <c r="H54" s="44">
        <f t="shared" ref="H54" si="32">G54+(0.2*G54)</f>
        <v>0</v>
      </c>
      <c r="I54" s="54"/>
    </row>
    <row r="55" spans="2:9" x14ac:dyDescent="0.25">
      <c r="B55" s="10" t="s">
        <v>43</v>
      </c>
      <c r="C55" s="7">
        <v>17864</v>
      </c>
      <c r="D55" s="7">
        <v>19513</v>
      </c>
      <c r="E55" s="8">
        <v>19740</v>
      </c>
      <c r="F55" s="106">
        <f t="shared" ref="F55:G57" si="33">AVERAGE(C55:E55)</f>
        <v>19039</v>
      </c>
      <c r="G55" s="107">
        <f t="shared" si="33"/>
        <v>19430.666666666668</v>
      </c>
      <c r="H55" s="44">
        <f>G55-(0.05*G55)</f>
        <v>18459.133333333335</v>
      </c>
      <c r="I55" s="53" t="s">
        <v>122</v>
      </c>
    </row>
    <row r="56" spans="2:9" x14ac:dyDescent="0.25">
      <c r="B56" s="10" t="s">
        <v>44</v>
      </c>
      <c r="C56" s="7">
        <v>1811</v>
      </c>
      <c r="D56" s="7">
        <v>1870</v>
      </c>
      <c r="E56" s="8">
        <v>1989</v>
      </c>
      <c r="F56" s="106">
        <f t="shared" si="33"/>
        <v>1890</v>
      </c>
      <c r="G56" s="107">
        <f t="shared" si="33"/>
        <v>1916.3333333333333</v>
      </c>
      <c r="H56" s="44">
        <f>G56</f>
        <v>1916.3333333333333</v>
      </c>
      <c r="I56" s="53" t="s">
        <v>121</v>
      </c>
    </row>
    <row r="57" spans="2:9" ht="15.75" thickBot="1" x14ac:dyDescent="0.3">
      <c r="B57" s="10" t="s">
        <v>45</v>
      </c>
      <c r="C57" s="7">
        <v>0</v>
      </c>
      <c r="D57" s="7">
        <v>247</v>
      </c>
      <c r="E57" s="8">
        <v>0</v>
      </c>
      <c r="F57" s="106">
        <f t="shared" si="33"/>
        <v>82.333333333333329</v>
      </c>
      <c r="G57" s="107">
        <f t="shared" si="33"/>
        <v>109.77777777777777</v>
      </c>
      <c r="H57" s="44">
        <f>G57</f>
        <v>109.77777777777777</v>
      </c>
      <c r="I57" s="53" t="s">
        <v>121</v>
      </c>
    </row>
    <row r="58" spans="2:9" ht="15.75" thickBot="1" x14ac:dyDescent="0.3">
      <c r="B58" s="31" t="s">
        <v>46</v>
      </c>
      <c r="C58" s="16">
        <f>SUM(C55:C57)</f>
        <v>19675</v>
      </c>
      <c r="D58" s="16">
        <f t="shared" ref="D58:F58" si="34">SUM(D55:D57)</f>
        <v>21630</v>
      </c>
      <c r="E58" s="17">
        <f t="shared" si="34"/>
        <v>21729</v>
      </c>
      <c r="F58" s="109">
        <f t="shared" si="34"/>
        <v>21011.333333333332</v>
      </c>
      <c r="G58" s="109">
        <f t="shared" ref="G58" si="35">SUM(G55:G57)</f>
        <v>21456.777777777777</v>
      </c>
      <c r="H58" s="47">
        <f t="shared" ref="H58" si="36">SUM(H55:H57)</f>
        <v>20485.244444444445</v>
      </c>
      <c r="I58" s="54"/>
    </row>
    <row r="59" spans="2:9" ht="15.75" thickBot="1" x14ac:dyDescent="0.3">
      <c r="B59" s="6" t="s">
        <v>47</v>
      </c>
      <c r="C59" s="16">
        <f>C53-C58</f>
        <v>14681</v>
      </c>
      <c r="D59" s="16">
        <f t="shared" ref="D59:F59" si="37">D53-D58</f>
        <v>15530</v>
      </c>
      <c r="E59" s="17">
        <f t="shared" si="37"/>
        <v>15843</v>
      </c>
      <c r="F59" s="109">
        <f t="shared" si="37"/>
        <v>15351.333333333339</v>
      </c>
      <c r="G59" s="109">
        <f t="shared" ref="G59" si="38">G53-G58</f>
        <v>15574.777777777785</v>
      </c>
      <c r="H59" s="47">
        <f t="shared" ref="H59" si="39">H53-H58</f>
        <v>34641.488888888896</v>
      </c>
      <c r="I59" s="54"/>
    </row>
    <row r="60" spans="2:9" x14ac:dyDescent="0.25">
      <c r="B60" s="6" t="s">
        <v>49</v>
      </c>
      <c r="C60" s="7"/>
      <c r="D60" s="7"/>
      <c r="E60" s="8"/>
      <c r="F60" s="106"/>
      <c r="G60" s="107"/>
      <c r="H60" s="44"/>
      <c r="I60" s="54"/>
    </row>
    <row r="61" spans="2:9" x14ac:dyDescent="0.25">
      <c r="B61" s="10" t="s">
        <v>50</v>
      </c>
      <c r="C61" s="7">
        <v>-74</v>
      </c>
      <c r="D61" s="7">
        <v>-93</v>
      </c>
      <c r="E61" s="8">
        <v>-73</v>
      </c>
      <c r="F61" s="106">
        <f t="shared" ref="F61:G63" si="40">AVERAGE(C61:E61)</f>
        <v>-80</v>
      </c>
      <c r="G61" s="107">
        <f t="shared" si="40"/>
        <v>-82</v>
      </c>
      <c r="H61" s="44">
        <f>G61</f>
        <v>-82</v>
      </c>
      <c r="I61" s="53" t="s">
        <v>121</v>
      </c>
    </row>
    <row r="62" spans="2:9" x14ac:dyDescent="0.25">
      <c r="B62" s="10" t="s">
        <v>51</v>
      </c>
      <c r="C62" s="7">
        <v>1057</v>
      </c>
      <c r="D62" s="7">
        <v>1051</v>
      </c>
      <c r="E62" s="8">
        <v>1201</v>
      </c>
      <c r="F62" s="106">
        <f t="shared" si="40"/>
        <v>1103</v>
      </c>
      <c r="G62" s="107">
        <f t="shared" si="40"/>
        <v>1118.3333333333333</v>
      </c>
      <c r="H62" s="44">
        <f>G62-(0.05*G62)</f>
        <v>1062.4166666666665</v>
      </c>
      <c r="I62" s="53" t="s">
        <v>122</v>
      </c>
    </row>
    <row r="63" spans="2:9" ht="15.75" thickBot="1" x14ac:dyDescent="0.3">
      <c r="B63" s="10" t="s">
        <v>52</v>
      </c>
      <c r="C63" s="7">
        <v>0</v>
      </c>
      <c r="D63" s="7">
        <v>16</v>
      </c>
      <c r="E63" s="8">
        <v>0</v>
      </c>
      <c r="F63" s="106">
        <f t="shared" si="40"/>
        <v>5.333333333333333</v>
      </c>
      <c r="G63" s="107">
        <f t="shared" si="40"/>
        <v>7.1111111111111107</v>
      </c>
      <c r="H63" s="44">
        <f>G63-(0.05*G63)</f>
        <v>6.7555555555555555</v>
      </c>
      <c r="I63" s="53" t="s">
        <v>122</v>
      </c>
    </row>
    <row r="64" spans="2:9" ht="15.75" thickBot="1" x14ac:dyDescent="0.3">
      <c r="B64" s="31" t="s">
        <v>53</v>
      </c>
      <c r="C64" s="16">
        <f>SUM(C61:C63)</f>
        <v>983</v>
      </c>
      <c r="D64" s="16">
        <f t="shared" ref="D64:F64" si="41">SUM(D61:D63)</f>
        <v>974</v>
      </c>
      <c r="E64" s="17">
        <f t="shared" si="41"/>
        <v>1128</v>
      </c>
      <c r="F64" s="109">
        <f t="shared" si="41"/>
        <v>1028.3333333333333</v>
      </c>
      <c r="G64" s="109">
        <f t="shared" ref="G64" si="42">SUM(G61:G63)</f>
        <v>1043.4444444444443</v>
      </c>
      <c r="H64" s="47">
        <f t="shared" ref="H64" si="43">SUM(H61:H63)</f>
        <v>987.1722222222221</v>
      </c>
      <c r="I64" s="54"/>
    </row>
    <row r="65" spans="2:9" x14ac:dyDescent="0.25">
      <c r="B65" s="6" t="s">
        <v>54</v>
      </c>
      <c r="C65" s="7">
        <f>C59-C64</f>
        <v>13698</v>
      </c>
      <c r="D65" s="7">
        <f t="shared" ref="D65:F65" si="44">D59-D64</f>
        <v>14556</v>
      </c>
      <c r="E65" s="8">
        <f t="shared" si="44"/>
        <v>14715</v>
      </c>
      <c r="F65" s="110">
        <f t="shared" si="44"/>
        <v>14323.000000000005</v>
      </c>
      <c r="G65" s="110">
        <f t="shared" ref="G65" si="45">G59-G64</f>
        <v>14531.333333333339</v>
      </c>
      <c r="H65" s="48">
        <f t="shared" ref="H65" si="46">H59-H64</f>
        <v>33654.316666666673</v>
      </c>
      <c r="I65" s="54"/>
    </row>
    <row r="66" spans="2:9" ht="15.75" thickBot="1" x14ac:dyDescent="0.3">
      <c r="B66" s="6" t="s">
        <v>55</v>
      </c>
      <c r="C66" s="7">
        <v>5068</v>
      </c>
      <c r="D66" s="7">
        <v>3435</v>
      </c>
      <c r="E66" s="8">
        <v>3473</v>
      </c>
      <c r="F66" s="106">
        <f>AVERAGE(C66:E66)</f>
        <v>3992</v>
      </c>
      <c r="G66" s="107">
        <f>AVERAGE(D66:F66)</f>
        <v>3633.3333333333335</v>
      </c>
      <c r="H66" s="44">
        <f>G66-(0.1*G66)</f>
        <v>3270</v>
      </c>
      <c r="I66" s="53" t="s">
        <v>123</v>
      </c>
    </row>
    <row r="67" spans="2:9" ht="15.75" thickBot="1" x14ac:dyDescent="0.3">
      <c r="B67" s="22" t="s">
        <v>48</v>
      </c>
      <c r="C67" s="14">
        <f>C65-C66</f>
        <v>8630</v>
      </c>
      <c r="D67" s="14">
        <f t="shared" ref="D67:F67" si="47">D65-D66</f>
        <v>11121</v>
      </c>
      <c r="E67" s="15">
        <f t="shared" si="47"/>
        <v>11242</v>
      </c>
      <c r="F67" s="111">
        <f t="shared" si="47"/>
        <v>10331.000000000005</v>
      </c>
      <c r="G67" s="111">
        <f t="shared" ref="G67" si="48">G65-G66</f>
        <v>10898.000000000005</v>
      </c>
      <c r="H67" s="49">
        <f t="shared" ref="H67" si="49">H65-H66</f>
        <v>30384.316666666673</v>
      </c>
      <c r="I67" s="54"/>
    </row>
    <row r="68" spans="2:9" ht="15.75" thickTop="1" x14ac:dyDescent="0.25">
      <c r="B68" s="6"/>
      <c r="C68" s="7"/>
      <c r="D68" s="7"/>
      <c r="E68" s="8"/>
      <c r="F68" s="106"/>
      <c r="G68" s="107"/>
      <c r="H68" s="44"/>
      <c r="I68" s="54"/>
    </row>
    <row r="69" spans="2:9" x14ac:dyDescent="0.25">
      <c r="B69" s="6" t="s">
        <v>56</v>
      </c>
      <c r="C69" s="7">
        <v>1178</v>
      </c>
      <c r="D69" s="7">
        <v>1137</v>
      </c>
      <c r="E69" s="8">
        <v>1093</v>
      </c>
      <c r="F69" s="106">
        <f>AVERAGE(C69:E69)</f>
        <v>1136</v>
      </c>
      <c r="G69" s="107">
        <f>AVERAGE(D69:F69)</f>
        <v>1122</v>
      </c>
      <c r="H69" s="44">
        <f>G69</f>
        <v>1122</v>
      </c>
      <c r="I69" s="53" t="s">
        <v>121</v>
      </c>
    </row>
    <row r="70" spans="2:9" x14ac:dyDescent="0.25">
      <c r="B70" s="22" t="s">
        <v>57</v>
      </c>
      <c r="C70" s="37">
        <v>7.33</v>
      </c>
      <c r="D70" s="37">
        <v>9.7799999999999994</v>
      </c>
      <c r="E70" s="38">
        <v>10.29</v>
      </c>
      <c r="F70" s="106">
        <f>AVERAGE(C70:E70)</f>
        <v>9.1333333333333329</v>
      </c>
      <c r="G70" s="107">
        <f>AVERAGE(D70:F70)</f>
        <v>9.7344444444444438</v>
      </c>
      <c r="H70" s="44">
        <f>G70-(0.15*G70)</f>
        <v>8.2742777777777778</v>
      </c>
      <c r="I70" s="53" t="s">
        <v>124</v>
      </c>
    </row>
    <row r="71" spans="2:9" x14ac:dyDescent="0.25">
      <c r="B71" s="9"/>
      <c r="C71" s="7"/>
      <c r="D71" s="7"/>
      <c r="E71" s="8"/>
      <c r="F71" s="106"/>
      <c r="G71" s="107"/>
      <c r="H71" s="44"/>
      <c r="I71" s="54"/>
    </row>
    <row r="72" spans="2:9" x14ac:dyDescent="0.25">
      <c r="B72" s="22" t="s">
        <v>58</v>
      </c>
      <c r="C72" s="7">
        <v>1184</v>
      </c>
      <c r="D72" s="7">
        <v>1143</v>
      </c>
      <c r="E72" s="8">
        <v>1097</v>
      </c>
      <c r="F72" s="106">
        <f>AVERAGE(C72:E72)</f>
        <v>1141.3333333333333</v>
      </c>
      <c r="G72" s="107">
        <f>AVERAGE(D72:F72)</f>
        <v>1127.1111111111111</v>
      </c>
      <c r="H72" s="44">
        <f>G72</f>
        <v>1127.1111111111111</v>
      </c>
      <c r="I72" s="53" t="s">
        <v>121</v>
      </c>
    </row>
    <row r="73" spans="2:9" x14ac:dyDescent="0.25">
      <c r="B73" s="22" t="s">
        <v>59</v>
      </c>
      <c r="C73" s="37">
        <v>7.29</v>
      </c>
      <c r="D73" s="37">
        <v>9.73</v>
      </c>
      <c r="E73" s="38">
        <v>10.25</v>
      </c>
      <c r="F73" s="106">
        <f>AVERAGE(C73:E73)</f>
        <v>9.09</v>
      </c>
      <c r="G73" s="107">
        <f>AVERAGE(D73:F73)</f>
        <v>9.69</v>
      </c>
      <c r="H73" s="44">
        <f>G73-(0.15*G73)</f>
        <v>8.2364999999999995</v>
      </c>
      <c r="I73" s="53" t="s">
        <v>124</v>
      </c>
    </row>
    <row r="74" spans="2:9" ht="15.75" thickBot="1" x14ac:dyDescent="0.3">
      <c r="B74" s="23"/>
      <c r="C74" s="12"/>
      <c r="D74" s="12"/>
      <c r="E74" s="13"/>
      <c r="F74" s="112"/>
      <c r="G74" s="113"/>
      <c r="H74" s="46"/>
      <c r="I74" s="52"/>
    </row>
    <row r="77" spans="2:9" x14ac:dyDescent="0.25">
      <c r="B77" s="190" t="s">
        <v>62</v>
      </c>
      <c r="C77" s="190"/>
      <c r="D77" s="190"/>
      <c r="E77" s="190"/>
    </row>
    <row r="78" spans="2:9" ht="15.75" thickBot="1" x14ac:dyDescent="0.3">
      <c r="B78" s="191"/>
      <c r="C78" s="191"/>
      <c r="D78" s="191"/>
      <c r="E78" s="191"/>
    </row>
    <row r="79" spans="2:9" ht="30" x14ac:dyDescent="0.25">
      <c r="B79" s="2"/>
      <c r="C79" s="24" t="s">
        <v>39</v>
      </c>
      <c r="D79" s="24" t="s">
        <v>39</v>
      </c>
      <c r="E79" s="25" t="s">
        <v>39</v>
      </c>
      <c r="F79" s="103" t="s">
        <v>115</v>
      </c>
      <c r="G79" s="103" t="s">
        <v>115</v>
      </c>
      <c r="H79" s="43" t="s">
        <v>118</v>
      </c>
      <c r="I79" s="51" t="s">
        <v>84</v>
      </c>
    </row>
    <row r="80" spans="2:9" ht="15.75" thickBot="1" x14ac:dyDescent="0.3">
      <c r="B80" s="6"/>
      <c r="C80" s="28">
        <v>2017</v>
      </c>
      <c r="D80" s="28">
        <v>2018</v>
      </c>
      <c r="E80" s="29">
        <v>2019</v>
      </c>
      <c r="F80" s="105">
        <v>2020</v>
      </c>
      <c r="G80" s="105">
        <v>2021</v>
      </c>
      <c r="H80" s="50">
        <v>2021</v>
      </c>
      <c r="I80" s="52"/>
    </row>
    <row r="81" spans="2:9" x14ac:dyDescent="0.25">
      <c r="B81" s="22" t="s">
        <v>63</v>
      </c>
      <c r="C81" s="7">
        <f>C67</f>
        <v>8630</v>
      </c>
      <c r="D81" s="7">
        <f t="shared" ref="D81:H81" si="50">D67</f>
        <v>11121</v>
      </c>
      <c r="E81" s="8">
        <f t="shared" si="50"/>
        <v>11242</v>
      </c>
      <c r="F81" s="110">
        <f t="shared" si="50"/>
        <v>10331.000000000005</v>
      </c>
      <c r="G81" s="110">
        <f t="shared" si="50"/>
        <v>10898.000000000005</v>
      </c>
      <c r="H81" s="48">
        <f t="shared" si="50"/>
        <v>30384.316666666673</v>
      </c>
      <c r="I81" s="55"/>
    </row>
    <row r="82" spans="2:9" x14ac:dyDescent="0.25">
      <c r="B82" s="22" t="s">
        <v>64</v>
      </c>
      <c r="C82" s="33"/>
      <c r="D82" s="33"/>
      <c r="E82" s="34"/>
      <c r="F82" s="114"/>
      <c r="G82" s="114"/>
      <c r="H82" s="59"/>
      <c r="I82" s="56"/>
    </row>
    <row r="83" spans="2:9" x14ac:dyDescent="0.25">
      <c r="B83" s="10" t="s">
        <v>65</v>
      </c>
      <c r="C83" s="33">
        <v>311</v>
      </c>
      <c r="D83" s="20">
        <v>-267</v>
      </c>
      <c r="E83" s="34">
        <v>53</v>
      </c>
      <c r="F83" s="115">
        <f t="shared" ref="F83:G83" si="51">AVERAGE(C83:E83)</f>
        <v>32.333333333333336</v>
      </c>
      <c r="G83" s="115">
        <f t="shared" si="51"/>
        <v>-60.55555555555555</v>
      </c>
      <c r="H83" s="59">
        <f>G83+(0.2*G83)</f>
        <v>-72.666666666666657</v>
      </c>
      <c r="I83" s="53" t="s">
        <v>125</v>
      </c>
    </row>
    <row r="84" spans="2:9" x14ac:dyDescent="0.25">
      <c r="B84" s="10" t="s">
        <v>66</v>
      </c>
      <c r="C84" s="33">
        <v>-1</v>
      </c>
      <c r="D84" s="33">
        <v>53</v>
      </c>
      <c r="E84" s="21">
        <v>8</v>
      </c>
      <c r="F84" s="114">
        <f t="shared" ref="F84:G84" si="52">AVERAGE(C84:E84)</f>
        <v>20</v>
      </c>
      <c r="G84" s="114">
        <f t="shared" si="52"/>
        <v>27</v>
      </c>
      <c r="H84" s="59">
        <f>G84-(0.2*G84)</f>
        <v>21.6</v>
      </c>
      <c r="I84" s="53" t="s">
        <v>125</v>
      </c>
    </row>
    <row r="85" spans="2:9" ht="15.75" thickBot="1" x14ac:dyDescent="0.3">
      <c r="B85" s="10" t="s">
        <v>52</v>
      </c>
      <c r="C85" s="7">
        <v>-9</v>
      </c>
      <c r="D85" s="7">
        <v>8</v>
      </c>
      <c r="E85" s="8">
        <v>3</v>
      </c>
      <c r="F85" s="110">
        <f t="shared" ref="F85:G85" si="53">AVERAGE(C85:E85)</f>
        <v>0.66666666666666663</v>
      </c>
      <c r="G85" s="110">
        <f t="shared" si="53"/>
        <v>3.8888888888888888</v>
      </c>
      <c r="H85" s="48">
        <f>G85</f>
        <v>3.8888888888888888</v>
      </c>
      <c r="I85" s="55" t="s">
        <v>121</v>
      </c>
    </row>
    <row r="86" spans="2:9" ht="15.75" thickBot="1" x14ac:dyDescent="0.3">
      <c r="B86" s="31" t="s">
        <v>67</v>
      </c>
      <c r="C86" s="16">
        <f>SUM(C83:C85)</f>
        <v>301</v>
      </c>
      <c r="D86" s="16">
        <f t="shared" ref="D86:H86" si="54">SUM(D83:D85)</f>
        <v>-206</v>
      </c>
      <c r="E86" s="17">
        <f t="shared" si="54"/>
        <v>64</v>
      </c>
      <c r="F86" s="109">
        <f t="shared" si="54"/>
        <v>53</v>
      </c>
      <c r="G86" s="109">
        <f t="shared" si="54"/>
        <v>-29.666666666666661</v>
      </c>
      <c r="H86" s="47">
        <f t="shared" si="54"/>
        <v>-47.17777777777777</v>
      </c>
      <c r="I86" s="57"/>
    </row>
    <row r="87" spans="2:9" ht="15.75" thickBot="1" x14ac:dyDescent="0.3">
      <c r="B87" s="22" t="s">
        <v>68</v>
      </c>
      <c r="C87" s="14">
        <f>SUM(C81,C86)</f>
        <v>8931</v>
      </c>
      <c r="D87" s="14">
        <f t="shared" ref="D87:H87" si="55">SUM(D81,D86)</f>
        <v>10915</v>
      </c>
      <c r="E87" s="15">
        <f t="shared" si="55"/>
        <v>11306</v>
      </c>
      <c r="F87" s="116">
        <f t="shared" si="55"/>
        <v>10384.000000000005</v>
      </c>
      <c r="G87" s="111">
        <f t="shared" si="55"/>
        <v>10868.333333333339</v>
      </c>
      <c r="H87" s="47">
        <f t="shared" si="55"/>
        <v>30337.138888888894</v>
      </c>
      <c r="I87" s="58"/>
    </row>
    <row r="88" spans="2:9" ht="16.5" thickTop="1" thickBot="1" x14ac:dyDescent="0.3">
      <c r="B88" s="23"/>
      <c r="C88" s="12"/>
      <c r="D88" s="12"/>
      <c r="E88" s="12"/>
      <c r="F88" s="12"/>
      <c r="G88" s="12"/>
      <c r="H88" s="60"/>
      <c r="I88" s="52"/>
    </row>
    <row r="91" spans="2:9" ht="15" customHeight="1" x14ac:dyDescent="0.25">
      <c r="B91" s="190" t="s">
        <v>81</v>
      </c>
      <c r="C91" s="190"/>
      <c r="D91" s="190"/>
      <c r="E91" s="190"/>
    </row>
    <row r="92" spans="2:9" ht="15.75" customHeight="1" thickBot="1" x14ac:dyDescent="0.3">
      <c r="B92" s="191"/>
      <c r="C92" s="191"/>
      <c r="D92" s="191"/>
      <c r="E92" s="191"/>
    </row>
    <row r="93" spans="2:9" ht="45" x14ac:dyDescent="0.25">
      <c r="B93" s="2"/>
      <c r="C93" s="24" t="s">
        <v>39</v>
      </c>
      <c r="D93" s="24" t="s">
        <v>39</v>
      </c>
      <c r="E93" s="25" t="s">
        <v>39</v>
      </c>
      <c r="F93" s="117" t="s">
        <v>116</v>
      </c>
      <c r="G93" s="118" t="s">
        <v>117</v>
      </c>
      <c r="H93" s="43" t="s">
        <v>118</v>
      </c>
      <c r="I93" s="65" t="s">
        <v>84</v>
      </c>
    </row>
    <row r="94" spans="2:9" ht="15.75" thickBot="1" x14ac:dyDescent="0.3">
      <c r="B94" s="6"/>
      <c r="C94" s="28">
        <v>2017</v>
      </c>
      <c r="D94" s="28">
        <v>2018</v>
      </c>
      <c r="E94" s="29">
        <v>2019</v>
      </c>
      <c r="F94" s="119"/>
      <c r="G94" s="120"/>
      <c r="H94" s="50">
        <v>2021</v>
      </c>
      <c r="I94" s="66"/>
    </row>
    <row r="95" spans="2:9" x14ac:dyDescent="0.25">
      <c r="B95" s="3" t="s">
        <v>82</v>
      </c>
      <c r="C95" s="4"/>
      <c r="D95" s="4"/>
      <c r="E95" s="5"/>
      <c r="F95" s="121"/>
      <c r="G95" s="122"/>
      <c r="H95" s="48"/>
      <c r="I95" s="67"/>
    </row>
    <row r="96" spans="2:9" x14ac:dyDescent="0.25">
      <c r="B96" s="6" t="s">
        <v>48</v>
      </c>
      <c r="C96" s="7">
        <f>C67</f>
        <v>8630</v>
      </c>
      <c r="D96" s="7">
        <f t="shared" ref="D96:H96" si="56">D67</f>
        <v>11121</v>
      </c>
      <c r="E96" s="8">
        <f t="shared" si="56"/>
        <v>11242</v>
      </c>
      <c r="F96" s="110">
        <f t="shared" si="56"/>
        <v>10331.000000000005</v>
      </c>
      <c r="G96" s="123">
        <f t="shared" si="56"/>
        <v>10898.000000000005</v>
      </c>
      <c r="H96" s="48">
        <f t="shared" si="56"/>
        <v>30384.316666666673</v>
      </c>
      <c r="I96" s="86"/>
    </row>
    <row r="97" spans="2:9" x14ac:dyDescent="0.25">
      <c r="B97" s="22" t="s">
        <v>83</v>
      </c>
      <c r="C97" s="7"/>
      <c r="D97" s="7"/>
      <c r="E97" s="8"/>
      <c r="F97" s="110"/>
      <c r="G97" s="123"/>
      <c r="H97" s="68"/>
      <c r="I97" s="128"/>
    </row>
    <row r="98" spans="2:9" x14ac:dyDescent="0.25">
      <c r="B98" s="10" t="s">
        <v>44</v>
      </c>
      <c r="C98" s="33">
        <v>2062</v>
      </c>
      <c r="D98" s="33">
        <v>2152</v>
      </c>
      <c r="E98" s="8">
        <v>2296</v>
      </c>
      <c r="F98" s="110">
        <f t="shared" ref="F98:G129" si="57">AVERAGE(C98:E98)</f>
        <v>2170</v>
      </c>
      <c r="G98" s="123">
        <f t="shared" si="57"/>
        <v>2206</v>
      </c>
      <c r="H98" s="44">
        <f>G98</f>
        <v>2206</v>
      </c>
      <c r="I98" s="128" t="s">
        <v>128</v>
      </c>
    </row>
    <row r="99" spans="2:9" x14ac:dyDescent="0.25">
      <c r="B99" s="10" t="s">
        <v>73</v>
      </c>
      <c r="C99" s="33">
        <v>273</v>
      </c>
      <c r="D99" s="33">
        <v>282</v>
      </c>
      <c r="E99" s="34">
        <v>251</v>
      </c>
      <c r="F99" s="110">
        <f t="shared" si="57"/>
        <v>268.66666666666669</v>
      </c>
      <c r="G99" s="123">
        <f t="shared" si="57"/>
        <v>267.22222222222223</v>
      </c>
      <c r="H99" s="44">
        <f t="shared" ref="H99:H102" si="58">G99+(0.2*G99)</f>
        <v>320.66666666666669</v>
      </c>
      <c r="I99" s="128" t="s">
        <v>119</v>
      </c>
    </row>
    <row r="100" spans="2:9" x14ac:dyDescent="0.25">
      <c r="B100" s="10" t="s">
        <v>45</v>
      </c>
      <c r="C100" s="20">
        <v>0</v>
      </c>
      <c r="D100" s="33">
        <v>247</v>
      </c>
      <c r="E100" s="34">
        <v>0</v>
      </c>
      <c r="F100" s="110">
        <f t="shared" si="57"/>
        <v>82.333333333333329</v>
      </c>
      <c r="G100" s="123">
        <f t="shared" si="57"/>
        <v>109.77777777777777</v>
      </c>
      <c r="H100" s="44">
        <f>G100+(0.15*G100)</f>
        <v>126.24444444444444</v>
      </c>
      <c r="I100" s="128" t="s">
        <v>127</v>
      </c>
    </row>
    <row r="101" spans="2:9" x14ac:dyDescent="0.25">
      <c r="B101" s="10" t="s">
        <v>85</v>
      </c>
      <c r="C101" s="7">
        <v>139</v>
      </c>
      <c r="D101" s="7">
        <v>33</v>
      </c>
      <c r="E101" s="34">
        <v>-170</v>
      </c>
      <c r="F101" s="110">
        <f t="shared" si="57"/>
        <v>0.66666666666666663</v>
      </c>
      <c r="G101" s="123">
        <f t="shared" si="57"/>
        <v>-45.44444444444445</v>
      </c>
      <c r="H101" s="44">
        <f t="shared" si="58"/>
        <v>-54.533333333333339</v>
      </c>
      <c r="I101" s="128" t="s">
        <v>125</v>
      </c>
    </row>
    <row r="102" spans="2:9" x14ac:dyDescent="0.25">
      <c r="B102" s="10" t="s">
        <v>86</v>
      </c>
      <c r="C102" s="7">
        <v>-84</v>
      </c>
      <c r="D102" s="7">
        <v>-1244</v>
      </c>
      <c r="E102" s="8">
        <v>-593</v>
      </c>
      <c r="F102" s="110">
        <f t="shared" si="57"/>
        <v>-640.33333333333337</v>
      </c>
      <c r="G102" s="123">
        <f t="shared" si="57"/>
        <v>-825.77777777777783</v>
      </c>
      <c r="H102" s="44">
        <f t="shared" si="58"/>
        <v>-990.93333333333339</v>
      </c>
      <c r="I102" s="128" t="s">
        <v>125</v>
      </c>
    </row>
    <row r="103" spans="2:9" x14ac:dyDescent="0.25">
      <c r="B103" s="10" t="s">
        <v>87</v>
      </c>
      <c r="C103" s="7">
        <v>-10</v>
      </c>
      <c r="D103" s="7">
        <v>-257</v>
      </c>
      <c r="E103" s="8">
        <v>-135</v>
      </c>
      <c r="F103" s="110">
        <f t="shared" si="57"/>
        <v>-134</v>
      </c>
      <c r="G103" s="123">
        <f t="shared" si="57"/>
        <v>-175.33333333333334</v>
      </c>
      <c r="H103" s="44">
        <f>G103+(0.1*G103)</f>
        <v>-192.86666666666667</v>
      </c>
      <c r="I103" s="128" t="s">
        <v>123</v>
      </c>
    </row>
    <row r="104" spans="2:9" x14ac:dyDescent="0.25">
      <c r="B104" s="10" t="s">
        <v>88</v>
      </c>
      <c r="C104" s="7">
        <v>352</v>
      </c>
      <c r="D104" s="7">
        <v>743</v>
      </c>
      <c r="E104" s="8">
        <v>68</v>
      </c>
      <c r="F104" s="110">
        <f t="shared" si="57"/>
        <v>387.66666666666669</v>
      </c>
      <c r="G104" s="123">
        <f t="shared" si="57"/>
        <v>399.5555555555556</v>
      </c>
      <c r="H104" s="44">
        <f>G104-(0.1*G104)</f>
        <v>359.6</v>
      </c>
      <c r="I104" s="128" t="s">
        <v>123</v>
      </c>
    </row>
    <row r="105" spans="2:9" x14ac:dyDescent="0.25">
      <c r="B105" s="10" t="s">
        <v>89</v>
      </c>
      <c r="C105" s="7">
        <v>128</v>
      </c>
      <c r="D105" s="7">
        <v>80</v>
      </c>
      <c r="E105" s="8">
        <v>334</v>
      </c>
      <c r="F105" s="110">
        <f t="shared" si="57"/>
        <v>180.66666666666666</v>
      </c>
      <c r="G105" s="123">
        <f t="shared" si="57"/>
        <v>198.2222222222222</v>
      </c>
      <c r="H105" s="44">
        <f>G105-(0.1*G105)</f>
        <v>178.39999999999998</v>
      </c>
      <c r="I105" s="128" t="s">
        <v>123</v>
      </c>
    </row>
    <row r="106" spans="2:9" x14ac:dyDescent="0.25">
      <c r="B106" s="10" t="s">
        <v>91</v>
      </c>
      <c r="C106" s="7">
        <v>29</v>
      </c>
      <c r="D106" s="7">
        <v>-42</v>
      </c>
      <c r="E106" s="8">
        <v>44</v>
      </c>
      <c r="F106" s="110">
        <f t="shared" si="57"/>
        <v>10.333333333333334</v>
      </c>
      <c r="G106" s="123">
        <f t="shared" si="57"/>
        <v>4.1111111111111116</v>
      </c>
      <c r="H106" s="44">
        <f>G106-(0.1*G106)</f>
        <v>3.7</v>
      </c>
      <c r="I106" s="128" t="s">
        <v>123</v>
      </c>
    </row>
    <row r="107" spans="2:9" x14ac:dyDescent="0.25">
      <c r="B107" s="10" t="s">
        <v>92</v>
      </c>
      <c r="C107" s="7">
        <v>92</v>
      </c>
      <c r="D107" s="7">
        <v>26</v>
      </c>
      <c r="E107" s="8">
        <v>202</v>
      </c>
      <c r="F107" s="110">
        <f t="shared" si="57"/>
        <v>106.66666666666667</v>
      </c>
      <c r="G107" s="123">
        <f t="shared" si="57"/>
        <v>111.55555555555556</v>
      </c>
      <c r="H107" s="44">
        <f>G107-(0.15*G107)</f>
        <v>94.822222222222223</v>
      </c>
      <c r="I107" s="128" t="s">
        <v>124</v>
      </c>
    </row>
    <row r="108" spans="2:9" ht="15.75" thickBot="1" x14ac:dyDescent="0.3">
      <c r="B108" s="10" t="s">
        <v>93</v>
      </c>
      <c r="C108" s="7">
        <v>420</v>
      </c>
      <c r="D108" s="7">
        <v>-103</v>
      </c>
      <c r="E108" s="8">
        <v>184</v>
      </c>
      <c r="F108" s="110">
        <f t="shared" si="57"/>
        <v>167</v>
      </c>
      <c r="G108" s="123">
        <f t="shared" si="57"/>
        <v>82.666666666666671</v>
      </c>
      <c r="H108" s="44">
        <f>G108+(0.15*G108)</f>
        <v>95.066666666666677</v>
      </c>
      <c r="I108" s="128" t="s">
        <v>124</v>
      </c>
    </row>
    <row r="109" spans="2:9" ht="15.75" thickBot="1" x14ac:dyDescent="0.3">
      <c r="B109" s="11" t="s">
        <v>90</v>
      </c>
      <c r="C109" s="16">
        <f>SUM(C96:C108)</f>
        <v>12031</v>
      </c>
      <c r="D109" s="16">
        <f>SUM(D96:D108)</f>
        <v>13038</v>
      </c>
      <c r="E109" s="17">
        <f>SUM(E96:E108)</f>
        <v>13723</v>
      </c>
      <c r="F109" s="109">
        <f>SUM(F96:F108)</f>
        <v>12930.66666666667</v>
      </c>
      <c r="G109" s="124">
        <f>SUM(G96:G108)</f>
        <v>13230.555555555558</v>
      </c>
      <c r="H109" s="47">
        <f t="shared" ref="H109" si="59">SUM(H96:H108)</f>
        <v>32530.483333333334</v>
      </c>
      <c r="I109" s="129"/>
    </row>
    <row r="110" spans="2:9" x14ac:dyDescent="0.25">
      <c r="B110" s="6"/>
      <c r="C110" s="7"/>
      <c r="D110" s="7"/>
      <c r="E110" s="8"/>
      <c r="F110" s="110"/>
      <c r="G110" s="123"/>
      <c r="H110" s="68"/>
      <c r="I110" s="128"/>
    </row>
    <row r="111" spans="2:9" x14ac:dyDescent="0.25">
      <c r="B111" s="3" t="s">
        <v>94</v>
      </c>
      <c r="C111" s="7"/>
      <c r="D111" s="7"/>
      <c r="E111" s="8"/>
      <c r="F111" s="110"/>
      <c r="G111" s="123"/>
      <c r="H111" s="68"/>
      <c r="I111" s="128"/>
    </row>
    <row r="112" spans="2:9" x14ac:dyDescent="0.25">
      <c r="B112" s="6" t="s">
        <v>95</v>
      </c>
      <c r="C112" s="7">
        <v>-1897</v>
      </c>
      <c r="D112" s="7">
        <v>-2442</v>
      </c>
      <c r="E112" s="8">
        <v>-2678</v>
      </c>
      <c r="F112" s="110">
        <f t="shared" si="57"/>
        <v>-2339</v>
      </c>
      <c r="G112" s="123">
        <f t="shared" si="57"/>
        <v>-2486.3333333333335</v>
      </c>
      <c r="H112" s="44">
        <f t="shared" ref="H112:H115" si="60">G112+(0.2*G112)</f>
        <v>-2983.6000000000004</v>
      </c>
      <c r="I112" s="128" t="s">
        <v>119</v>
      </c>
    </row>
    <row r="113" spans="2:9" x14ac:dyDescent="0.25">
      <c r="B113" s="10" t="s">
        <v>96</v>
      </c>
      <c r="C113" s="7">
        <v>-374</v>
      </c>
      <c r="D113" s="7">
        <v>-21</v>
      </c>
      <c r="E113" s="8">
        <v>0</v>
      </c>
      <c r="F113" s="110">
        <f t="shared" si="57"/>
        <v>-131.66666666666666</v>
      </c>
      <c r="G113" s="123">
        <f t="shared" si="57"/>
        <v>-50.888888888888886</v>
      </c>
      <c r="H113" s="44">
        <f t="shared" si="60"/>
        <v>-61.066666666666663</v>
      </c>
      <c r="I113" s="128" t="s">
        <v>119</v>
      </c>
    </row>
    <row r="114" spans="2:9" x14ac:dyDescent="0.25">
      <c r="B114" s="10" t="s">
        <v>97</v>
      </c>
      <c r="C114" s="7">
        <v>47</v>
      </c>
      <c r="D114" s="7">
        <v>33</v>
      </c>
      <c r="E114" s="8">
        <v>37</v>
      </c>
      <c r="F114" s="110">
        <f t="shared" si="57"/>
        <v>39</v>
      </c>
      <c r="G114" s="123">
        <f t="shared" si="57"/>
        <v>36.333333333333336</v>
      </c>
      <c r="H114" s="44">
        <f t="shared" si="60"/>
        <v>43.6</v>
      </c>
      <c r="I114" s="128" t="s">
        <v>119</v>
      </c>
    </row>
    <row r="115" spans="2:9" ht="15.75" thickBot="1" x14ac:dyDescent="0.3">
      <c r="B115" s="10" t="s">
        <v>98</v>
      </c>
      <c r="C115" s="7">
        <v>-4</v>
      </c>
      <c r="D115" s="7">
        <v>14</v>
      </c>
      <c r="E115" s="8">
        <v>-12</v>
      </c>
      <c r="F115" s="110">
        <f t="shared" si="57"/>
        <v>-0.66666666666666663</v>
      </c>
      <c r="G115" s="123">
        <f t="shared" si="57"/>
        <v>0.44444444444444448</v>
      </c>
      <c r="H115" s="44">
        <f t="shared" si="60"/>
        <v>0.53333333333333344</v>
      </c>
      <c r="I115" s="128" t="s">
        <v>119</v>
      </c>
    </row>
    <row r="116" spans="2:9" ht="15.75" thickBot="1" x14ac:dyDescent="0.3">
      <c r="B116" s="10" t="s">
        <v>99</v>
      </c>
      <c r="C116" s="16">
        <f>SUM(C112:C115)</f>
        <v>-2228</v>
      </c>
      <c r="D116" s="16">
        <f>SUM(D112:D115)</f>
        <v>-2416</v>
      </c>
      <c r="E116" s="17">
        <f>SUM(E112:E115)</f>
        <v>-2653</v>
      </c>
      <c r="F116" s="109">
        <f>SUM(F112:F115)</f>
        <v>-2432.333333333333</v>
      </c>
      <c r="G116" s="124">
        <f>SUM(G112:G115)</f>
        <v>-2500.4444444444443</v>
      </c>
      <c r="H116" s="47">
        <f t="shared" ref="H116" si="61">SUM(H112:H115)</f>
        <v>-3000.5333333333338</v>
      </c>
      <c r="I116" s="129"/>
    </row>
    <row r="117" spans="2:9" x14ac:dyDescent="0.25">
      <c r="B117" s="10"/>
      <c r="C117" s="7"/>
      <c r="D117" s="7"/>
      <c r="E117" s="8"/>
      <c r="F117" s="110"/>
      <c r="G117" s="123"/>
      <c r="H117" s="68"/>
      <c r="I117" s="128"/>
    </row>
    <row r="118" spans="2:9" x14ac:dyDescent="0.25">
      <c r="B118" s="39" t="s">
        <v>100</v>
      </c>
      <c r="C118" s="7"/>
      <c r="D118" s="7"/>
      <c r="E118" s="8"/>
      <c r="F118" s="110"/>
      <c r="G118" s="123"/>
      <c r="H118" s="68"/>
      <c r="I118" s="128"/>
    </row>
    <row r="119" spans="2:9" x14ac:dyDescent="0.25">
      <c r="B119" s="10" t="s">
        <v>101</v>
      </c>
      <c r="C119" s="7">
        <v>850</v>
      </c>
      <c r="D119" s="7">
        <v>-220</v>
      </c>
      <c r="E119" s="8">
        <v>-365</v>
      </c>
      <c r="F119" s="110">
        <f t="shared" si="57"/>
        <v>88.333333333333329</v>
      </c>
      <c r="G119" s="123">
        <f t="shared" si="57"/>
        <v>-165.55555555555557</v>
      </c>
      <c r="H119" s="44">
        <f t="shared" ref="H119:H129" si="62">G119+(0.2*G119)</f>
        <v>-198.66666666666669</v>
      </c>
      <c r="I119" s="128" t="s">
        <v>119</v>
      </c>
    </row>
    <row r="120" spans="2:9" x14ac:dyDescent="0.25">
      <c r="B120" s="10" t="s">
        <v>102</v>
      </c>
      <c r="C120" s="7">
        <v>2991</v>
      </c>
      <c r="D120" s="7">
        <v>3466</v>
      </c>
      <c r="E120" s="8">
        <v>3420</v>
      </c>
      <c r="F120" s="110">
        <f t="shared" si="57"/>
        <v>3292.3333333333335</v>
      </c>
      <c r="G120" s="123">
        <f t="shared" si="57"/>
        <v>3392.7777777777778</v>
      </c>
      <c r="H120" s="44">
        <f t="shared" si="62"/>
        <v>4071.3333333333335</v>
      </c>
      <c r="I120" s="128" t="s">
        <v>119</v>
      </c>
    </row>
    <row r="121" spans="2:9" x14ac:dyDescent="0.25">
      <c r="B121" s="10" t="s">
        <v>103</v>
      </c>
      <c r="C121" s="7">
        <v>-543</v>
      </c>
      <c r="D121" s="7">
        <v>-1209</v>
      </c>
      <c r="E121" s="8">
        <v>-1070</v>
      </c>
      <c r="F121" s="110">
        <f t="shared" si="57"/>
        <v>-940.66666666666663</v>
      </c>
      <c r="G121" s="123">
        <f t="shared" si="57"/>
        <v>-1073.2222222222222</v>
      </c>
      <c r="H121" s="44">
        <f t="shared" si="62"/>
        <v>-1287.8666666666666</v>
      </c>
      <c r="I121" s="128" t="s">
        <v>119</v>
      </c>
    </row>
    <row r="122" spans="2:9" x14ac:dyDescent="0.25">
      <c r="B122" s="10" t="s">
        <v>79</v>
      </c>
      <c r="C122" s="7">
        <v>-8000</v>
      </c>
      <c r="D122" s="7">
        <v>-9963</v>
      </c>
      <c r="E122" s="8">
        <v>-6965</v>
      </c>
      <c r="F122" s="110">
        <f t="shared" si="57"/>
        <v>-8309.3333333333339</v>
      </c>
      <c r="G122" s="123">
        <f t="shared" si="57"/>
        <v>-8412.4444444444453</v>
      </c>
      <c r="H122" s="44">
        <f t="shared" si="62"/>
        <v>-10094.933333333334</v>
      </c>
      <c r="I122" s="128" t="s">
        <v>119</v>
      </c>
    </row>
    <row r="123" spans="2:9" x14ac:dyDescent="0.25">
      <c r="B123" s="11" t="s">
        <v>136</v>
      </c>
      <c r="C123" s="7">
        <v>255</v>
      </c>
      <c r="D123" s="7">
        <v>236</v>
      </c>
      <c r="E123" s="8">
        <v>280</v>
      </c>
      <c r="F123" s="110">
        <f t="shared" si="57"/>
        <v>257</v>
      </c>
      <c r="G123" s="123">
        <f t="shared" si="57"/>
        <v>257.66666666666669</v>
      </c>
      <c r="H123" s="44">
        <f t="shared" si="62"/>
        <v>309.20000000000005</v>
      </c>
      <c r="I123" s="128" t="s">
        <v>119</v>
      </c>
    </row>
    <row r="124" spans="2:9" x14ac:dyDescent="0.25">
      <c r="B124" s="11" t="s">
        <v>77</v>
      </c>
      <c r="C124" s="7">
        <v>-4212</v>
      </c>
      <c r="D124" s="7">
        <v>-4704</v>
      </c>
      <c r="E124" s="8">
        <v>-5958</v>
      </c>
      <c r="F124" s="110">
        <f t="shared" si="57"/>
        <v>-4958</v>
      </c>
      <c r="G124" s="123">
        <f t="shared" si="57"/>
        <v>-5206.666666666667</v>
      </c>
      <c r="H124" s="44">
        <f t="shared" si="62"/>
        <v>-6248</v>
      </c>
      <c r="I124" s="128" t="s">
        <v>119</v>
      </c>
    </row>
    <row r="125" spans="2:9" ht="15.75" thickBot="1" x14ac:dyDescent="0.3">
      <c r="B125" s="22" t="s">
        <v>104</v>
      </c>
      <c r="C125" s="7">
        <v>-211</v>
      </c>
      <c r="D125" s="7">
        <v>-26</v>
      </c>
      <c r="E125" s="8">
        <v>-176</v>
      </c>
      <c r="F125" s="110">
        <f t="shared" si="57"/>
        <v>-137.66666666666666</v>
      </c>
      <c r="G125" s="123">
        <f t="shared" si="57"/>
        <v>-113.22222222222221</v>
      </c>
      <c r="H125" s="44">
        <f t="shared" si="62"/>
        <v>-135.86666666666667</v>
      </c>
      <c r="I125" s="128" t="s">
        <v>119</v>
      </c>
    </row>
    <row r="126" spans="2:9" ht="15.75" thickBot="1" x14ac:dyDescent="0.3">
      <c r="B126" s="22" t="s">
        <v>105</v>
      </c>
      <c r="C126" s="16">
        <f>SUM(C119:C125)</f>
        <v>-8870</v>
      </c>
      <c r="D126" s="16">
        <f t="shared" ref="D126:G126" si="63">SUM(D119:D125)</f>
        <v>-12420</v>
      </c>
      <c r="E126" s="17">
        <f t="shared" si="63"/>
        <v>-10834</v>
      </c>
      <c r="F126" s="109">
        <f t="shared" si="63"/>
        <v>-10708</v>
      </c>
      <c r="G126" s="124">
        <f t="shared" si="63"/>
        <v>-11320.666666666668</v>
      </c>
      <c r="H126" s="47">
        <f t="shared" ref="H126" si="64">SUM(H119:H125)</f>
        <v>-13584.800000000001</v>
      </c>
      <c r="I126" s="129"/>
    </row>
    <row r="127" spans="2:9" x14ac:dyDescent="0.25">
      <c r="B127" s="22" t="s">
        <v>106</v>
      </c>
      <c r="C127" s="7">
        <v>933</v>
      </c>
      <c r="D127" s="7">
        <v>-1798</v>
      </c>
      <c r="E127" s="8">
        <v>236</v>
      </c>
      <c r="F127" s="110">
        <f t="shared" si="57"/>
        <v>-209.66666666666666</v>
      </c>
      <c r="G127" s="123">
        <f t="shared" si="57"/>
        <v>-590.55555555555554</v>
      </c>
      <c r="H127" s="44">
        <f t="shared" si="62"/>
        <v>-708.66666666666663</v>
      </c>
      <c r="I127" s="128" t="s">
        <v>119</v>
      </c>
    </row>
    <row r="128" spans="2:9" x14ac:dyDescent="0.25">
      <c r="B128" s="22" t="s">
        <v>107</v>
      </c>
      <c r="C128" s="7">
        <v>124</v>
      </c>
      <c r="D128" s="7">
        <v>-19</v>
      </c>
      <c r="E128" s="8">
        <v>119</v>
      </c>
      <c r="F128" s="110">
        <f t="shared" si="57"/>
        <v>74.666666666666671</v>
      </c>
      <c r="G128" s="123">
        <f t="shared" si="57"/>
        <v>58.222222222222229</v>
      </c>
      <c r="H128" s="44">
        <f t="shared" si="62"/>
        <v>69.866666666666674</v>
      </c>
      <c r="I128" s="128" t="s">
        <v>119</v>
      </c>
    </row>
    <row r="129" spans="2:9" ht="15.75" thickBot="1" x14ac:dyDescent="0.3">
      <c r="B129" s="22" t="s">
        <v>108</v>
      </c>
      <c r="C129" s="7">
        <v>2538</v>
      </c>
      <c r="D129" s="7">
        <v>3595</v>
      </c>
      <c r="E129" s="8">
        <v>1778</v>
      </c>
      <c r="F129" s="110">
        <f t="shared" si="57"/>
        <v>2637</v>
      </c>
      <c r="G129" s="123">
        <f t="shared" si="57"/>
        <v>2670</v>
      </c>
      <c r="H129" s="44">
        <f t="shared" si="62"/>
        <v>3204</v>
      </c>
      <c r="I129" s="128" t="s">
        <v>119</v>
      </c>
    </row>
    <row r="130" spans="2:9" ht="15.75" thickBot="1" x14ac:dyDescent="0.3">
      <c r="B130" s="31" t="s">
        <v>109</v>
      </c>
      <c r="C130" s="14">
        <f>SUM(C127:C129)</f>
        <v>3595</v>
      </c>
      <c r="D130" s="14">
        <f t="shared" ref="D130:G130" si="65">SUM(D127:D129)</f>
        <v>1778</v>
      </c>
      <c r="E130" s="15">
        <f t="shared" si="65"/>
        <v>2133</v>
      </c>
      <c r="F130" s="111">
        <f t="shared" si="65"/>
        <v>2502</v>
      </c>
      <c r="G130" s="125">
        <f t="shared" si="65"/>
        <v>2137.666666666667</v>
      </c>
      <c r="H130" s="49">
        <f t="shared" ref="H130" si="66">SUM(H127:H129)</f>
        <v>2565.1999999999998</v>
      </c>
      <c r="I130" s="130"/>
    </row>
    <row r="131" spans="2:9" ht="15.75" thickTop="1" x14ac:dyDescent="0.25">
      <c r="B131" s="3" t="s">
        <v>110</v>
      </c>
      <c r="C131" s="7"/>
      <c r="D131" s="7"/>
      <c r="E131" s="8"/>
      <c r="F131" s="110"/>
      <c r="G131" s="123"/>
      <c r="H131" s="68"/>
      <c r="I131" s="128"/>
    </row>
    <row r="132" spans="2:9" x14ac:dyDescent="0.25">
      <c r="B132" s="6" t="s">
        <v>111</v>
      </c>
      <c r="C132" s="7">
        <v>4732</v>
      </c>
      <c r="D132" s="7">
        <v>3774</v>
      </c>
      <c r="E132" s="8">
        <v>3220</v>
      </c>
      <c r="F132" s="110">
        <f t="shared" ref="F132:F134" si="67">AVERAGE(C132:E132)</f>
        <v>3908.6666666666665</v>
      </c>
      <c r="G132" s="123">
        <f t="shared" ref="G132:G134" si="68">AVERAGE(D132:F132)</f>
        <v>3634.2222222222222</v>
      </c>
      <c r="H132" s="44">
        <f t="shared" ref="H132:H134" si="69">G132+(0.2*G132)</f>
        <v>4361.0666666666666</v>
      </c>
      <c r="I132" s="128" t="s">
        <v>119</v>
      </c>
    </row>
    <row r="133" spans="2:9" x14ac:dyDescent="0.25">
      <c r="B133" s="6" t="s">
        <v>112</v>
      </c>
      <c r="C133" s="7">
        <v>991</v>
      </c>
      <c r="D133" s="7">
        <v>1035</v>
      </c>
      <c r="E133" s="8">
        <v>1112</v>
      </c>
      <c r="F133" s="110">
        <f t="shared" si="67"/>
        <v>1046</v>
      </c>
      <c r="G133" s="123">
        <f t="shared" si="68"/>
        <v>1064.3333333333333</v>
      </c>
      <c r="H133" s="44">
        <f t="shared" si="69"/>
        <v>1277.1999999999998</v>
      </c>
      <c r="I133" s="128" t="s">
        <v>119</v>
      </c>
    </row>
    <row r="134" spans="2:9" x14ac:dyDescent="0.25">
      <c r="B134" s="6" t="s">
        <v>113</v>
      </c>
      <c r="C134" s="4">
        <v>150</v>
      </c>
      <c r="D134" s="4">
        <v>248</v>
      </c>
      <c r="E134" s="5">
        <v>136</v>
      </c>
      <c r="F134" s="110">
        <f t="shared" si="67"/>
        <v>178</v>
      </c>
      <c r="G134" s="123">
        <f t="shared" si="68"/>
        <v>187.33333333333334</v>
      </c>
      <c r="H134" s="44">
        <f t="shared" si="69"/>
        <v>224.8</v>
      </c>
      <c r="I134" s="128" t="s">
        <v>119</v>
      </c>
    </row>
    <row r="135" spans="2:9" ht="15.75" thickBot="1" x14ac:dyDescent="0.3">
      <c r="B135" s="23"/>
      <c r="C135" s="12"/>
      <c r="D135" s="12"/>
      <c r="E135" s="13"/>
      <c r="F135" s="126"/>
      <c r="G135" s="127"/>
      <c r="H135" s="46"/>
      <c r="I135" s="66"/>
    </row>
  </sheetData>
  <mergeCells count="4">
    <mergeCell ref="B2:D3"/>
    <mergeCell ref="B47:E48"/>
    <mergeCell ref="B77:E78"/>
    <mergeCell ref="B91:E9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73956-762E-481C-ADF3-790C4AF8D4E1}">
  <dimension ref="B3:I120"/>
  <sheetViews>
    <sheetView tabSelected="1" topLeftCell="A76" zoomScale="90" zoomScaleNormal="90" workbookViewId="0">
      <selection activeCell="H82" sqref="H82"/>
    </sheetView>
  </sheetViews>
  <sheetFormatPr defaultRowHeight="15" x14ac:dyDescent="0.25"/>
  <cols>
    <col min="2" max="2" width="76.140625" style="1" customWidth="1"/>
    <col min="3" max="4" width="15.42578125" customWidth="1"/>
    <col min="5" max="5" width="12.28515625" bestFit="1" customWidth="1"/>
    <col min="8" max="8" width="12.7109375" customWidth="1"/>
    <col min="9" max="9" width="27" bestFit="1" customWidth="1"/>
  </cols>
  <sheetData>
    <row r="3" spans="2:9" ht="15" customHeight="1" x14ac:dyDescent="0.25">
      <c r="B3" s="190" t="s">
        <v>61</v>
      </c>
      <c r="C3" s="190"/>
      <c r="D3" s="190"/>
      <c r="E3" s="190"/>
    </row>
    <row r="4" spans="2:9" ht="15.75" customHeight="1" thickBot="1" x14ac:dyDescent="0.3">
      <c r="B4" s="191"/>
      <c r="C4" s="191"/>
      <c r="D4" s="191"/>
      <c r="E4" s="191"/>
      <c r="I4" s="12"/>
    </row>
    <row r="5" spans="2:9" ht="45" x14ac:dyDescent="0.25">
      <c r="B5" s="2"/>
      <c r="C5" s="24" t="s">
        <v>39</v>
      </c>
      <c r="D5" s="24" t="s">
        <v>39</v>
      </c>
      <c r="E5" s="25" t="s">
        <v>39</v>
      </c>
      <c r="F5" s="135" t="s">
        <v>115</v>
      </c>
      <c r="G5" s="118" t="s">
        <v>115</v>
      </c>
      <c r="H5" s="153" t="s">
        <v>118</v>
      </c>
      <c r="I5" s="65" t="s">
        <v>84</v>
      </c>
    </row>
    <row r="6" spans="2:9" ht="15.75" thickBot="1" x14ac:dyDescent="0.3">
      <c r="B6" s="92" t="s">
        <v>154</v>
      </c>
      <c r="C6" s="28">
        <v>2017</v>
      </c>
      <c r="D6" s="28">
        <v>2018</v>
      </c>
      <c r="E6" s="29">
        <v>2019</v>
      </c>
      <c r="F6" s="136">
        <v>2020</v>
      </c>
      <c r="G6" s="136">
        <v>2021</v>
      </c>
      <c r="H6" s="50">
        <v>2021</v>
      </c>
      <c r="I6" s="66"/>
    </row>
    <row r="7" spans="2:9" s="72" customFormat="1" x14ac:dyDescent="0.25">
      <c r="B7" s="39" t="s">
        <v>40</v>
      </c>
      <c r="C7" s="87">
        <v>68619</v>
      </c>
      <c r="D7" s="87">
        <v>71309</v>
      </c>
      <c r="E7" s="88">
        <v>72148</v>
      </c>
      <c r="F7" s="137">
        <f>AVERAGE(C7:E7)</f>
        <v>70692</v>
      </c>
      <c r="G7" s="138">
        <f>AVERAGE(D7:F7)</f>
        <v>71383</v>
      </c>
      <c r="H7" s="154">
        <f>1.1*G7</f>
        <v>78521.3</v>
      </c>
      <c r="I7" s="163" t="s">
        <v>189</v>
      </c>
    </row>
    <row r="8" spans="2:9" ht="15.75" thickBot="1" x14ac:dyDescent="0.3">
      <c r="B8" s="22" t="s">
        <v>41</v>
      </c>
      <c r="C8" s="33">
        <v>46185</v>
      </c>
      <c r="D8" s="33">
        <v>48401</v>
      </c>
      <c r="E8" s="34">
        <v>49205</v>
      </c>
      <c r="F8" s="114">
        <f>AVERAGE(C8:E8)</f>
        <v>47930.333333333336</v>
      </c>
      <c r="G8" s="139">
        <v>49205</v>
      </c>
      <c r="H8" s="155">
        <f>1.1*G8</f>
        <v>54125.500000000007</v>
      </c>
      <c r="I8" s="164" t="s">
        <v>189</v>
      </c>
    </row>
    <row r="9" spans="2:9" s="72" customFormat="1" ht="15.75" thickBot="1" x14ac:dyDescent="0.3">
      <c r="B9" s="39" t="s">
        <v>42</v>
      </c>
      <c r="C9" s="93">
        <f>C7-C8</f>
        <v>22434</v>
      </c>
      <c r="D9" s="93">
        <f t="shared" ref="D9:E9" si="0">D7-D8</f>
        <v>22908</v>
      </c>
      <c r="E9" s="94">
        <f t="shared" si="0"/>
        <v>22943</v>
      </c>
      <c r="F9" s="140">
        <f t="shared" ref="F9:H9" si="1">F7-F8</f>
        <v>22761.666666666664</v>
      </c>
      <c r="G9" s="141">
        <f t="shared" si="1"/>
        <v>22178</v>
      </c>
      <c r="H9" s="156">
        <f t="shared" si="1"/>
        <v>24395.799999999996</v>
      </c>
      <c r="I9" s="165"/>
    </row>
    <row r="10" spans="2:9" x14ac:dyDescent="0.25">
      <c r="B10" s="22" t="s">
        <v>187</v>
      </c>
      <c r="C10" s="20"/>
      <c r="D10" s="20"/>
      <c r="E10" s="21"/>
      <c r="F10" s="115"/>
      <c r="G10" s="142"/>
      <c r="H10" s="157"/>
      <c r="I10" s="166"/>
    </row>
    <row r="11" spans="2:9" x14ac:dyDescent="0.25">
      <c r="B11" s="9" t="s">
        <v>43</v>
      </c>
      <c r="C11" s="7">
        <v>14444</v>
      </c>
      <c r="D11" s="7">
        <v>17413</v>
      </c>
      <c r="E11" s="8">
        <v>15367</v>
      </c>
      <c r="F11" s="110">
        <f t="shared" ref="F11:G11" si="2">AVERAGE(C11:E11)</f>
        <v>15741.333333333334</v>
      </c>
      <c r="G11" s="123">
        <f t="shared" si="2"/>
        <v>16173.777777777779</v>
      </c>
      <c r="H11" s="158">
        <f t="shared" ref="H11:H12" si="3">1.1*G11</f>
        <v>17791.155555555557</v>
      </c>
      <c r="I11" s="167" t="s">
        <v>189</v>
      </c>
    </row>
    <row r="12" spans="2:9" ht="15.75" thickBot="1" x14ac:dyDescent="0.3">
      <c r="B12" s="9" t="s">
        <v>44</v>
      </c>
      <c r="C12" s="7">
        <v>1404</v>
      </c>
      <c r="D12" s="7">
        <v>1477</v>
      </c>
      <c r="E12" s="8">
        <v>1262</v>
      </c>
      <c r="F12" s="110">
        <f t="shared" ref="F12" si="4">AVERAGE(C12:E12)</f>
        <v>1381</v>
      </c>
      <c r="G12" s="127">
        <f t="shared" ref="G12" si="5">AVERAGE(D12:F12)</f>
        <v>1373.3333333333333</v>
      </c>
      <c r="H12" s="158">
        <f t="shared" si="3"/>
        <v>1510.6666666666667</v>
      </c>
      <c r="I12" s="164" t="s">
        <v>189</v>
      </c>
    </row>
    <row r="13" spans="2:9" s="72" customFormat="1" ht="15.75" thickBot="1" x14ac:dyDescent="0.3">
      <c r="B13" s="3" t="s">
        <v>47</v>
      </c>
      <c r="C13" s="70">
        <f t="shared" ref="C13:D13" si="6">C9-SUM(C11:C12)</f>
        <v>6586</v>
      </c>
      <c r="D13" s="70">
        <f t="shared" si="6"/>
        <v>4018</v>
      </c>
      <c r="E13" s="71">
        <f>E9-SUM(E11:E12)</f>
        <v>6314</v>
      </c>
      <c r="F13" s="143">
        <f t="shared" ref="F13:H13" si="7">F9-SUM(F11:F12)</f>
        <v>5639.3333333333285</v>
      </c>
      <c r="G13" s="144">
        <f t="shared" si="7"/>
        <v>4630.8888888888869</v>
      </c>
      <c r="H13" s="159">
        <f t="shared" si="7"/>
        <v>5093.9777777777708</v>
      </c>
      <c r="I13" s="168"/>
    </row>
    <row r="14" spans="2:9" x14ac:dyDescent="0.25">
      <c r="B14" s="22" t="s">
        <v>155</v>
      </c>
      <c r="C14" s="7">
        <v>633</v>
      </c>
      <c r="D14" s="7">
        <v>624</v>
      </c>
      <c r="E14" s="8">
        <v>691</v>
      </c>
      <c r="F14" s="110">
        <f t="shared" ref="F14:F15" si="8">AVERAGE(C14:E14)</f>
        <v>649.33333333333337</v>
      </c>
      <c r="G14" s="145">
        <f t="shared" ref="G14:G15" si="9">AVERAGE(D14:F14)</f>
        <v>654.77777777777783</v>
      </c>
      <c r="H14" s="158">
        <f t="shared" ref="H14:H15" si="10">1.1*G14</f>
        <v>720.2555555555557</v>
      </c>
      <c r="I14" s="163" t="s">
        <v>189</v>
      </c>
    </row>
    <row r="15" spans="2:9" ht="15.75" thickBot="1" x14ac:dyDescent="0.3">
      <c r="B15" s="22" t="s">
        <v>156</v>
      </c>
      <c r="C15" s="7">
        <v>464</v>
      </c>
      <c r="D15" s="7">
        <v>0</v>
      </c>
      <c r="E15" s="8">
        <v>0</v>
      </c>
      <c r="F15" s="110">
        <f t="shared" si="8"/>
        <v>154.66666666666666</v>
      </c>
      <c r="G15" s="127">
        <f t="shared" si="9"/>
        <v>51.55555555555555</v>
      </c>
      <c r="H15" s="158">
        <f t="shared" si="10"/>
        <v>56.711111111111109</v>
      </c>
      <c r="I15" s="164" t="s">
        <v>189</v>
      </c>
    </row>
    <row r="16" spans="2:9" s="72" customFormat="1" ht="15.75" thickBot="1" x14ac:dyDescent="0.3">
      <c r="B16" s="39" t="s">
        <v>157</v>
      </c>
      <c r="C16" s="70">
        <f t="shared" ref="C16:D16" si="11">C13-SUM(C14:C15)</f>
        <v>5489</v>
      </c>
      <c r="D16" s="70">
        <f t="shared" si="11"/>
        <v>3394</v>
      </c>
      <c r="E16" s="71">
        <f>E13-SUM(E14:E15)</f>
        <v>5623</v>
      </c>
      <c r="F16" s="143">
        <f t="shared" ref="F16:H16" si="12">F13-SUM(F14:F15)</f>
        <v>4835.3333333333285</v>
      </c>
      <c r="G16" s="144">
        <f t="shared" si="12"/>
        <v>3924.5555555555534</v>
      </c>
      <c r="H16" s="159">
        <f t="shared" si="12"/>
        <v>4317.0111111111037</v>
      </c>
      <c r="I16" s="168"/>
    </row>
    <row r="17" spans="2:9" ht="15.75" thickBot="1" x14ac:dyDescent="0.3">
      <c r="B17" s="6" t="s">
        <v>158</v>
      </c>
      <c r="C17" s="7">
        <v>2042</v>
      </c>
      <c r="D17" s="7">
        <v>1080</v>
      </c>
      <c r="E17" s="8">
        <v>1342</v>
      </c>
      <c r="F17" s="110">
        <f t="shared" ref="F17" si="13">AVERAGE(C17:E17)</f>
        <v>1488</v>
      </c>
      <c r="G17" s="124">
        <f t="shared" ref="G17" si="14">AVERAGE(D17:F17)</f>
        <v>1303.3333333333333</v>
      </c>
      <c r="H17" s="158">
        <f>1.1*G17</f>
        <v>1433.6666666666667</v>
      </c>
      <c r="I17" s="163" t="s">
        <v>189</v>
      </c>
    </row>
    <row r="18" spans="2:9" s="72" customFormat="1" ht="15.75" thickBot="1" x14ac:dyDescent="0.3">
      <c r="B18" s="39" t="s">
        <v>48</v>
      </c>
      <c r="C18" s="73">
        <f t="shared" ref="C18:D18" si="15">C16-C17</f>
        <v>3447</v>
      </c>
      <c r="D18" s="73">
        <f t="shared" si="15"/>
        <v>2314</v>
      </c>
      <c r="E18" s="74">
        <f>E16-E17</f>
        <v>4281</v>
      </c>
      <c r="F18" s="146">
        <f t="shared" ref="F18:H18" si="16">F16-F17</f>
        <v>3347.3333333333285</v>
      </c>
      <c r="G18" s="147">
        <f t="shared" si="16"/>
        <v>2621.2222222222199</v>
      </c>
      <c r="H18" s="160">
        <f t="shared" si="16"/>
        <v>2883.3444444444367</v>
      </c>
      <c r="I18" s="169"/>
    </row>
    <row r="19" spans="2:9" ht="15.75" thickTop="1" x14ac:dyDescent="0.25">
      <c r="B19" s="6"/>
      <c r="C19" s="7"/>
      <c r="D19" s="7"/>
      <c r="E19" s="8"/>
      <c r="F19" s="110"/>
      <c r="G19" s="148"/>
      <c r="H19" s="158"/>
      <c r="I19" s="55"/>
    </row>
    <row r="20" spans="2:9" s="72" customFormat="1" x14ac:dyDescent="0.25">
      <c r="B20" s="3" t="s">
        <v>159</v>
      </c>
      <c r="C20" s="99">
        <v>4.09</v>
      </c>
      <c r="D20" s="99">
        <v>2.84</v>
      </c>
      <c r="E20" s="96">
        <v>5.49</v>
      </c>
      <c r="F20" s="149">
        <f t="shared" ref="F20:F22" si="17">AVERAGE(C20:E20)</f>
        <v>4.1399999999999997</v>
      </c>
      <c r="G20" s="150">
        <f t="shared" ref="G20:G22" si="18">AVERAGE(D20:F20)</f>
        <v>4.1566666666666663</v>
      </c>
      <c r="H20" s="161">
        <f t="shared" ref="H20:H22" si="19">1.1*G20</f>
        <v>4.5723333333333329</v>
      </c>
      <c r="I20" s="167" t="s">
        <v>189</v>
      </c>
    </row>
    <row r="21" spans="2:9" s="72" customFormat="1" x14ac:dyDescent="0.25">
      <c r="B21" s="39" t="s">
        <v>160</v>
      </c>
      <c r="C21" s="99">
        <v>4.09</v>
      </c>
      <c r="D21" s="99">
        <v>2.84</v>
      </c>
      <c r="E21" s="96">
        <v>5.49</v>
      </c>
      <c r="F21" s="149">
        <f t="shared" si="17"/>
        <v>4.1399999999999997</v>
      </c>
      <c r="G21" s="150">
        <f t="shared" si="18"/>
        <v>4.1566666666666663</v>
      </c>
      <c r="H21" s="161">
        <f t="shared" si="19"/>
        <v>4.5723333333333329</v>
      </c>
      <c r="I21" s="167" t="s">
        <v>189</v>
      </c>
    </row>
    <row r="22" spans="2:9" s="72" customFormat="1" ht="15.75" thickBot="1" x14ac:dyDescent="0.3">
      <c r="B22" s="92" t="s">
        <v>161</v>
      </c>
      <c r="C22" s="100">
        <v>1.58</v>
      </c>
      <c r="D22" s="100">
        <v>1.85</v>
      </c>
      <c r="E22" s="98">
        <v>2.13</v>
      </c>
      <c r="F22" s="151">
        <f t="shared" si="17"/>
        <v>1.8533333333333335</v>
      </c>
      <c r="G22" s="152">
        <f t="shared" si="18"/>
        <v>1.9444444444444446</v>
      </c>
      <c r="H22" s="162">
        <f t="shared" si="19"/>
        <v>2.1388888888888893</v>
      </c>
      <c r="I22" s="164" t="s">
        <v>189</v>
      </c>
    </row>
    <row r="23" spans="2:9" s="72" customFormat="1" x14ac:dyDescent="0.25">
      <c r="B23" s="76"/>
      <c r="C23" s="99"/>
      <c r="D23" s="99"/>
      <c r="E23" s="95"/>
    </row>
    <row r="24" spans="2:9" s="72" customFormat="1" x14ac:dyDescent="0.25">
      <c r="B24" s="76"/>
      <c r="C24" s="97"/>
      <c r="D24" s="97"/>
      <c r="E24" s="97"/>
    </row>
    <row r="25" spans="2:9" ht="15" customHeight="1" x14ac:dyDescent="0.25">
      <c r="B25" s="190" t="s">
        <v>81</v>
      </c>
      <c r="C25" s="190"/>
      <c r="D25" s="190"/>
      <c r="E25" s="190"/>
    </row>
    <row r="26" spans="2:9" ht="15" customHeight="1" thickBot="1" x14ac:dyDescent="0.3">
      <c r="B26" s="191"/>
      <c r="C26" s="191"/>
      <c r="D26" s="191"/>
      <c r="E26" s="191"/>
    </row>
    <row r="27" spans="2:9" ht="45" x14ac:dyDescent="0.25">
      <c r="B27" s="2"/>
      <c r="C27" s="24" t="s">
        <v>39</v>
      </c>
      <c r="D27" s="24" t="s">
        <v>39</v>
      </c>
      <c r="E27" s="25" t="s">
        <v>39</v>
      </c>
      <c r="F27" s="117" t="s">
        <v>115</v>
      </c>
      <c r="G27" s="118" t="s">
        <v>115</v>
      </c>
      <c r="H27" s="177" t="s">
        <v>118</v>
      </c>
      <c r="I27" s="51" t="s">
        <v>84</v>
      </c>
    </row>
    <row r="28" spans="2:9" ht="15.75" thickBot="1" x14ac:dyDescent="0.3">
      <c r="B28" s="6"/>
      <c r="C28" s="28">
        <v>2017</v>
      </c>
      <c r="D28" s="28">
        <v>2018</v>
      </c>
      <c r="E28" s="29">
        <v>2019</v>
      </c>
      <c r="F28" s="105">
        <v>2020</v>
      </c>
      <c r="G28" s="171">
        <v>2021</v>
      </c>
      <c r="H28" s="178">
        <v>2021</v>
      </c>
      <c r="I28" s="181"/>
    </row>
    <row r="29" spans="2:9" x14ac:dyDescent="0.25">
      <c r="B29" s="3" t="s">
        <v>82</v>
      </c>
      <c r="C29" s="4"/>
      <c r="D29" s="4"/>
      <c r="E29" s="5"/>
      <c r="F29" s="121"/>
      <c r="G29" s="172"/>
      <c r="H29" s="179"/>
      <c r="I29" s="54"/>
    </row>
    <row r="30" spans="2:9" x14ac:dyDescent="0.25">
      <c r="B30" s="6" t="s">
        <v>48</v>
      </c>
      <c r="C30" s="7">
        <f t="shared" ref="C30:D30" si="20">C18</f>
        <v>3447</v>
      </c>
      <c r="D30" s="7">
        <f t="shared" si="20"/>
        <v>2314</v>
      </c>
      <c r="E30" s="8">
        <f>E18</f>
        <v>4281</v>
      </c>
      <c r="F30" s="110">
        <f t="shared" ref="F30:H30" si="21">F18</f>
        <v>3347.3333333333285</v>
      </c>
      <c r="G30" s="123">
        <f t="shared" si="21"/>
        <v>2621.2222222222199</v>
      </c>
      <c r="H30" s="158">
        <f t="shared" si="21"/>
        <v>2883.3444444444367</v>
      </c>
      <c r="I30" s="55" t="s">
        <v>190</v>
      </c>
    </row>
    <row r="31" spans="2:9" x14ac:dyDescent="0.25">
      <c r="B31" s="22" t="s">
        <v>162</v>
      </c>
      <c r="C31" s="7"/>
      <c r="D31" s="7"/>
      <c r="E31" s="8"/>
      <c r="F31" s="110"/>
      <c r="G31" s="123"/>
      <c r="H31" s="158"/>
      <c r="I31" s="55"/>
    </row>
    <row r="32" spans="2:9" x14ac:dyDescent="0.25">
      <c r="B32" s="10" t="s">
        <v>44</v>
      </c>
      <c r="C32" s="33">
        <v>1540</v>
      </c>
      <c r="D32" s="33">
        <v>1607</v>
      </c>
      <c r="E32" s="8">
        <v>1410</v>
      </c>
      <c r="F32" s="110">
        <f t="shared" ref="F32" si="22">AVERAGE(C32:E32)</f>
        <v>1519</v>
      </c>
      <c r="G32" s="123">
        <f t="shared" ref="G32:G44" si="23">AVERAGE(D32:F32)</f>
        <v>1512</v>
      </c>
      <c r="H32" s="158">
        <f>1.1*G32</f>
        <v>1663.2</v>
      </c>
      <c r="I32" s="55" t="s">
        <v>189</v>
      </c>
    </row>
    <row r="33" spans="2:9" x14ac:dyDescent="0.25">
      <c r="B33" s="10" t="s">
        <v>163</v>
      </c>
      <c r="C33" s="33">
        <v>0</v>
      </c>
      <c r="D33" s="33">
        <v>0</v>
      </c>
      <c r="E33" s="34">
        <v>468</v>
      </c>
      <c r="F33" s="114">
        <f t="shared" ref="F33:F44" si="24">AVERAGE(C33:E33)</f>
        <v>156</v>
      </c>
      <c r="G33" s="173">
        <f t="shared" si="23"/>
        <v>208</v>
      </c>
      <c r="H33" s="158">
        <f t="shared" ref="H33:H44" si="25">1.1*G33</f>
        <v>228.8</v>
      </c>
      <c r="I33" s="55" t="s">
        <v>189</v>
      </c>
    </row>
    <row r="34" spans="2:9" x14ac:dyDescent="0.25">
      <c r="B34" s="10" t="s">
        <v>164</v>
      </c>
      <c r="C34" s="20">
        <v>53</v>
      </c>
      <c r="D34" s="20">
        <v>-151</v>
      </c>
      <c r="E34" s="34">
        <v>177</v>
      </c>
      <c r="F34" s="114">
        <f t="shared" si="24"/>
        <v>26.333333333333332</v>
      </c>
      <c r="G34" s="173">
        <f t="shared" si="23"/>
        <v>17.444444444444443</v>
      </c>
      <c r="H34" s="158">
        <f t="shared" si="25"/>
        <v>19.18888888888889</v>
      </c>
      <c r="I34" s="55" t="s">
        <v>189</v>
      </c>
    </row>
    <row r="35" spans="2:9" x14ac:dyDescent="0.25">
      <c r="B35" s="10" t="s">
        <v>165</v>
      </c>
      <c r="C35" s="7">
        <v>40</v>
      </c>
      <c r="D35" s="7">
        <v>630</v>
      </c>
      <c r="E35" s="34">
        <v>117</v>
      </c>
      <c r="F35" s="114">
        <f t="shared" si="24"/>
        <v>262.33333333333331</v>
      </c>
      <c r="G35" s="173">
        <f t="shared" si="23"/>
        <v>336.4444444444444</v>
      </c>
      <c r="H35" s="158">
        <f t="shared" si="25"/>
        <v>370.08888888888885</v>
      </c>
      <c r="I35" s="55" t="s">
        <v>189</v>
      </c>
    </row>
    <row r="36" spans="2:9" x14ac:dyDescent="0.25">
      <c r="B36" s="10" t="s">
        <v>166</v>
      </c>
      <c r="C36" s="7">
        <v>0</v>
      </c>
      <c r="D36" s="7">
        <v>952</v>
      </c>
      <c r="E36" s="8">
        <v>0</v>
      </c>
      <c r="F36" s="110">
        <f t="shared" si="24"/>
        <v>317.33333333333331</v>
      </c>
      <c r="G36" s="123">
        <f t="shared" si="23"/>
        <v>423.11111111111109</v>
      </c>
      <c r="H36" s="158">
        <f t="shared" si="25"/>
        <v>465.42222222222222</v>
      </c>
      <c r="I36" s="55" t="s">
        <v>189</v>
      </c>
    </row>
    <row r="37" spans="2:9" x14ac:dyDescent="0.25">
      <c r="B37" s="10" t="s">
        <v>156</v>
      </c>
      <c r="C37" s="7">
        <v>464</v>
      </c>
      <c r="D37" s="7">
        <v>0</v>
      </c>
      <c r="E37" s="8">
        <v>0</v>
      </c>
      <c r="F37" s="110">
        <f t="shared" si="24"/>
        <v>154.66666666666666</v>
      </c>
      <c r="G37" s="123">
        <f t="shared" si="23"/>
        <v>51.55555555555555</v>
      </c>
      <c r="H37" s="158">
        <f t="shared" si="25"/>
        <v>56.711111111111109</v>
      </c>
      <c r="I37" s="55" t="s">
        <v>189</v>
      </c>
    </row>
    <row r="38" spans="2:9" x14ac:dyDescent="0.25">
      <c r="B38" s="10" t="s">
        <v>167</v>
      </c>
      <c r="C38" s="7">
        <v>-82</v>
      </c>
      <c r="D38" s="7">
        <v>9</v>
      </c>
      <c r="E38" s="8">
        <v>12</v>
      </c>
      <c r="F38" s="110">
        <f t="shared" si="24"/>
        <v>-20.333333333333332</v>
      </c>
      <c r="G38" s="123">
        <f t="shared" si="23"/>
        <v>0.22222222222222263</v>
      </c>
      <c r="H38" s="158">
        <f t="shared" si="25"/>
        <v>0.24444444444444491</v>
      </c>
      <c r="I38" s="55" t="s">
        <v>189</v>
      </c>
    </row>
    <row r="39" spans="2:9" x14ac:dyDescent="0.25">
      <c r="B39" s="10" t="s">
        <v>188</v>
      </c>
      <c r="C39" s="7">
        <v>99</v>
      </c>
      <c r="D39" s="7">
        <v>74</v>
      </c>
      <c r="E39" s="8">
        <v>98</v>
      </c>
      <c r="F39" s="110">
        <f t="shared" si="24"/>
        <v>90.333333333333329</v>
      </c>
      <c r="G39" s="123">
        <f t="shared" si="23"/>
        <v>87.444444444444443</v>
      </c>
      <c r="H39" s="158">
        <f t="shared" si="25"/>
        <v>96.188888888888897</v>
      </c>
      <c r="I39" s="55" t="s">
        <v>189</v>
      </c>
    </row>
    <row r="40" spans="2:9" x14ac:dyDescent="0.25">
      <c r="B40" s="10" t="s">
        <v>168</v>
      </c>
      <c r="C40" s="7"/>
      <c r="D40" s="7"/>
      <c r="E40" s="8"/>
      <c r="F40" s="110"/>
      <c r="G40" s="123"/>
      <c r="H40" s="158">
        <f t="shared" si="25"/>
        <v>0</v>
      </c>
      <c r="I40" s="55" t="s">
        <v>189</v>
      </c>
    </row>
    <row r="41" spans="2:9" x14ac:dyDescent="0.25">
      <c r="B41" s="30" t="s">
        <v>129</v>
      </c>
      <c r="C41" s="7">
        <v>-791</v>
      </c>
      <c r="D41" s="7">
        <v>-1289</v>
      </c>
      <c r="E41" s="8">
        <v>-600</v>
      </c>
      <c r="F41" s="110">
        <f t="shared" si="24"/>
        <v>-893.33333333333337</v>
      </c>
      <c r="G41" s="123">
        <f t="shared" si="23"/>
        <v>-927.44444444444446</v>
      </c>
      <c r="H41" s="158">
        <f t="shared" si="25"/>
        <v>-1020.188888888889</v>
      </c>
      <c r="I41" s="55" t="s">
        <v>189</v>
      </c>
    </row>
    <row r="42" spans="2:9" x14ac:dyDescent="0.25">
      <c r="B42" s="30" t="s">
        <v>169</v>
      </c>
      <c r="C42" s="7">
        <v>250</v>
      </c>
      <c r="D42" s="7">
        <v>-110</v>
      </c>
      <c r="E42" s="8">
        <v>-376</v>
      </c>
      <c r="F42" s="110">
        <f t="shared" si="24"/>
        <v>-78.666666666666671</v>
      </c>
      <c r="G42" s="123">
        <f t="shared" si="23"/>
        <v>-188.2222222222222</v>
      </c>
      <c r="H42" s="158">
        <f t="shared" si="25"/>
        <v>-207.04444444444442</v>
      </c>
      <c r="I42" s="55" t="s">
        <v>189</v>
      </c>
    </row>
    <row r="43" spans="2:9" x14ac:dyDescent="0.25">
      <c r="B43" s="30" t="s">
        <v>13</v>
      </c>
      <c r="C43" s="7">
        <v>-92</v>
      </c>
      <c r="D43" s="7">
        <v>1720</v>
      </c>
      <c r="E43" s="8">
        <v>-637</v>
      </c>
      <c r="F43" s="110">
        <f t="shared" si="24"/>
        <v>330.33333333333331</v>
      </c>
      <c r="G43" s="123">
        <f t="shared" si="23"/>
        <v>471.11111111111109</v>
      </c>
      <c r="H43" s="158">
        <f t="shared" si="25"/>
        <v>518.22222222222229</v>
      </c>
      <c r="I43" s="55" t="s">
        <v>189</v>
      </c>
    </row>
    <row r="44" spans="2:9" ht="15.75" thickBot="1" x14ac:dyDescent="0.3">
      <c r="B44" s="30" t="s">
        <v>170</v>
      </c>
      <c r="C44" s="7">
        <v>137</v>
      </c>
      <c r="D44" s="7">
        <v>437</v>
      </c>
      <c r="E44" s="8">
        <v>-654</v>
      </c>
      <c r="F44" s="110">
        <f t="shared" si="24"/>
        <v>-26.666666666666668</v>
      </c>
      <c r="G44" s="127">
        <f t="shared" si="23"/>
        <v>-81.222222222222214</v>
      </c>
      <c r="H44" s="158">
        <f t="shared" si="25"/>
        <v>-89.344444444444449</v>
      </c>
      <c r="I44" s="55" t="s">
        <v>189</v>
      </c>
    </row>
    <row r="45" spans="2:9" s="72" customFormat="1" ht="15.75" thickBot="1" x14ac:dyDescent="0.3">
      <c r="B45" s="69" t="s">
        <v>90</v>
      </c>
      <c r="C45" s="70">
        <f>SUM(C30:C44)</f>
        <v>5065</v>
      </c>
      <c r="D45" s="70">
        <f>SUM(D30:D44)</f>
        <v>6193</v>
      </c>
      <c r="E45" s="71">
        <f>SUM(E30:E44)</f>
        <v>4296</v>
      </c>
      <c r="F45" s="143">
        <f t="shared" ref="F45:H45" si="26">SUM(F30:F44)</f>
        <v>5184.6666666666606</v>
      </c>
      <c r="G45" s="144">
        <f t="shared" si="26"/>
        <v>4531.6666666666642</v>
      </c>
      <c r="H45" s="159">
        <f t="shared" si="26"/>
        <v>4984.8333333333248</v>
      </c>
      <c r="I45" s="168"/>
    </row>
    <row r="46" spans="2:9" x14ac:dyDescent="0.25">
      <c r="B46" s="6"/>
      <c r="C46" s="7"/>
      <c r="D46" s="7"/>
      <c r="E46" s="8"/>
      <c r="F46" s="110"/>
      <c r="G46" s="145"/>
      <c r="H46" s="158"/>
      <c r="I46" s="55"/>
    </row>
    <row r="47" spans="2:9" x14ac:dyDescent="0.25">
      <c r="B47" s="3" t="s">
        <v>94</v>
      </c>
      <c r="C47" s="7"/>
      <c r="D47" s="7"/>
      <c r="E47" s="8"/>
      <c r="F47" s="110"/>
      <c r="G47" s="123"/>
      <c r="H47" s="158"/>
      <c r="I47" s="55"/>
    </row>
    <row r="48" spans="2:9" x14ac:dyDescent="0.25">
      <c r="B48" s="10" t="s">
        <v>172</v>
      </c>
      <c r="C48" s="7">
        <v>-981</v>
      </c>
      <c r="D48" s="7">
        <v>-1373</v>
      </c>
      <c r="E48" s="8">
        <v>-743</v>
      </c>
      <c r="F48" s="110">
        <f t="shared" ref="F48:F53" si="27">AVERAGE(C48:E48)</f>
        <v>-1032.3333333333333</v>
      </c>
      <c r="G48" s="123">
        <f t="shared" ref="G48:G53" si="28">AVERAGE(D48:F48)</f>
        <v>-1049.4444444444443</v>
      </c>
      <c r="H48" s="158">
        <f t="shared" ref="H48:H53" si="29">1.1*G48</f>
        <v>-1154.3888888888889</v>
      </c>
      <c r="I48" s="55" t="s">
        <v>189</v>
      </c>
    </row>
    <row r="49" spans="2:9" x14ac:dyDescent="0.25">
      <c r="B49" s="10" t="s">
        <v>171</v>
      </c>
      <c r="C49" s="7">
        <v>1114</v>
      </c>
      <c r="D49" s="7">
        <v>1393</v>
      </c>
      <c r="E49" s="8">
        <v>695</v>
      </c>
      <c r="F49" s="110">
        <f t="shared" si="27"/>
        <v>1067.3333333333333</v>
      </c>
      <c r="G49" s="123">
        <f t="shared" si="28"/>
        <v>1051.7777777777776</v>
      </c>
      <c r="H49" s="158">
        <f t="shared" si="29"/>
        <v>1156.9555555555555</v>
      </c>
      <c r="I49" s="55" t="s">
        <v>189</v>
      </c>
    </row>
    <row r="50" spans="2:9" x14ac:dyDescent="0.25">
      <c r="B50" s="10" t="s">
        <v>95</v>
      </c>
      <c r="C50" s="7">
        <v>-1123</v>
      </c>
      <c r="D50" s="7">
        <v>-1174</v>
      </c>
      <c r="E50" s="8">
        <v>-1484</v>
      </c>
      <c r="F50" s="110">
        <f t="shared" si="27"/>
        <v>-1260.3333333333333</v>
      </c>
      <c r="G50" s="123">
        <f t="shared" si="28"/>
        <v>-1306.1111111111111</v>
      </c>
      <c r="H50" s="158">
        <f t="shared" si="29"/>
        <v>-1436.7222222222224</v>
      </c>
      <c r="I50" s="55" t="s">
        <v>189</v>
      </c>
    </row>
    <row r="51" spans="2:9" x14ac:dyDescent="0.25">
      <c r="B51" s="10" t="s">
        <v>173</v>
      </c>
      <c r="C51" s="7">
        <v>45</v>
      </c>
      <c r="D51" s="7">
        <v>76</v>
      </c>
      <c r="E51" s="8">
        <v>163</v>
      </c>
      <c r="F51" s="110">
        <f t="shared" si="27"/>
        <v>94.666666666666671</v>
      </c>
      <c r="G51" s="123">
        <f t="shared" si="28"/>
        <v>111.22222222222223</v>
      </c>
      <c r="H51" s="158">
        <f t="shared" si="29"/>
        <v>122.34444444444446</v>
      </c>
      <c r="I51" s="55" t="s">
        <v>189</v>
      </c>
    </row>
    <row r="52" spans="2:9" x14ac:dyDescent="0.25">
      <c r="B52" s="10" t="s">
        <v>175</v>
      </c>
      <c r="C52" s="7">
        <v>-509</v>
      </c>
      <c r="D52" s="7">
        <v>0</v>
      </c>
      <c r="E52" s="8">
        <v>0</v>
      </c>
      <c r="F52" s="110">
        <f t="shared" si="27"/>
        <v>-169.66666666666666</v>
      </c>
      <c r="G52" s="123">
        <f t="shared" si="28"/>
        <v>-56.55555555555555</v>
      </c>
      <c r="H52" s="158">
        <f t="shared" si="29"/>
        <v>-62.211111111111109</v>
      </c>
      <c r="I52" s="55" t="s">
        <v>189</v>
      </c>
    </row>
    <row r="53" spans="2:9" ht="15.75" thickBot="1" x14ac:dyDescent="0.3">
      <c r="B53" s="10" t="s">
        <v>174</v>
      </c>
      <c r="C53" s="7">
        <v>13</v>
      </c>
      <c r="D53" s="7">
        <v>-2</v>
      </c>
      <c r="E53" s="8">
        <v>0</v>
      </c>
      <c r="F53" s="110">
        <f t="shared" si="27"/>
        <v>3.6666666666666665</v>
      </c>
      <c r="G53" s="127">
        <f t="shared" si="28"/>
        <v>0.55555555555555547</v>
      </c>
      <c r="H53" s="158">
        <f t="shared" si="29"/>
        <v>0.61111111111111105</v>
      </c>
      <c r="I53" s="55" t="s">
        <v>189</v>
      </c>
    </row>
    <row r="54" spans="2:9" s="72" customFormat="1" ht="15.75" thickBot="1" x14ac:dyDescent="0.3">
      <c r="B54" s="69" t="s">
        <v>99</v>
      </c>
      <c r="C54" s="70">
        <f>SUM(C48:C53)</f>
        <v>-1441</v>
      </c>
      <c r="D54" s="70">
        <f>SUM(D48:D53)</f>
        <v>-1080</v>
      </c>
      <c r="E54" s="71">
        <f>SUM(E48:E53)</f>
        <v>-1369</v>
      </c>
      <c r="F54" s="143">
        <f t="shared" ref="F54:H54" si="30">SUM(F48:F53)</f>
        <v>-1296.6666666666665</v>
      </c>
      <c r="G54" s="144">
        <f t="shared" si="30"/>
        <v>-1248.5555555555557</v>
      </c>
      <c r="H54" s="159">
        <f t="shared" si="30"/>
        <v>-1373.4111111111113</v>
      </c>
      <c r="I54" s="168"/>
    </row>
    <row r="55" spans="2:9" x14ac:dyDescent="0.25">
      <c r="B55" s="10"/>
      <c r="C55" s="7"/>
      <c r="D55" s="7"/>
      <c r="E55" s="8"/>
      <c r="F55" s="110"/>
      <c r="G55" s="145"/>
      <c r="H55" s="158"/>
      <c r="I55" s="55"/>
    </row>
    <row r="56" spans="2:9" x14ac:dyDescent="0.25">
      <c r="B56" s="39" t="s">
        <v>100</v>
      </c>
      <c r="C56" s="7"/>
      <c r="D56" s="7"/>
      <c r="E56" s="8"/>
      <c r="F56" s="110"/>
      <c r="G56" s="123"/>
      <c r="H56" s="158"/>
      <c r="I56" s="55"/>
    </row>
    <row r="57" spans="2:9" x14ac:dyDescent="0.25">
      <c r="B57" s="10" t="s">
        <v>176</v>
      </c>
      <c r="C57" s="7">
        <v>625</v>
      </c>
      <c r="D57" s="7">
        <v>-415</v>
      </c>
      <c r="E57" s="8">
        <v>220</v>
      </c>
      <c r="F57" s="110">
        <f t="shared" ref="F57:F63" si="31">AVERAGE(C57:E57)</f>
        <v>143.33333333333334</v>
      </c>
      <c r="G57" s="123">
        <f t="shared" ref="G57:G63" si="32">AVERAGE(D57:F57)</f>
        <v>-17.222222222222218</v>
      </c>
      <c r="H57" s="158">
        <f t="shared" ref="H57:H69" si="33">1.1*G57</f>
        <v>-18.944444444444443</v>
      </c>
      <c r="I57" s="55" t="s">
        <v>189</v>
      </c>
    </row>
    <row r="58" spans="2:9" x14ac:dyDescent="0.25">
      <c r="B58" s="10" t="s">
        <v>177</v>
      </c>
      <c r="C58" s="7">
        <v>2968</v>
      </c>
      <c r="D58" s="7">
        <v>0</v>
      </c>
      <c r="E58" s="8">
        <v>3972</v>
      </c>
      <c r="F58" s="110">
        <f t="shared" si="31"/>
        <v>2313.3333333333335</v>
      </c>
      <c r="G58" s="123">
        <f t="shared" si="32"/>
        <v>2095.1111111111113</v>
      </c>
      <c r="H58" s="158">
        <f t="shared" si="33"/>
        <v>2304.6222222222227</v>
      </c>
      <c r="I58" s="55" t="s">
        <v>189</v>
      </c>
    </row>
    <row r="59" spans="2:9" x14ac:dyDescent="0.25">
      <c r="B59" s="10" t="s">
        <v>103</v>
      </c>
      <c r="C59" s="7">
        <v>-2849</v>
      </c>
      <c r="D59" s="7">
        <v>-326</v>
      </c>
      <c r="E59" s="8">
        <v>-1113</v>
      </c>
      <c r="F59" s="110">
        <f t="shared" si="31"/>
        <v>-1429.3333333333333</v>
      </c>
      <c r="G59" s="123">
        <f t="shared" si="32"/>
        <v>-956.11111111111097</v>
      </c>
      <c r="H59" s="158">
        <f t="shared" si="33"/>
        <v>-1051.7222222222222</v>
      </c>
      <c r="I59" s="55" t="s">
        <v>189</v>
      </c>
    </row>
    <row r="60" spans="2:9" x14ac:dyDescent="0.25">
      <c r="B60" s="10" t="s">
        <v>178</v>
      </c>
      <c r="C60" s="7">
        <v>139</v>
      </c>
      <c r="D60" s="7">
        <v>114</v>
      </c>
      <c r="E60" s="8">
        <v>118</v>
      </c>
      <c r="F60" s="132">
        <f t="shared" si="31"/>
        <v>123.66666666666667</v>
      </c>
      <c r="G60" s="123">
        <f t="shared" si="32"/>
        <v>118.55555555555556</v>
      </c>
      <c r="H60" s="158">
        <f t="shared" si="33"/>
        <v>130.41111111111113</v>
      </c>
      <c r="I60" s="55" t="s">
        <v>189</v>
      </c>
    </row>
    <row r="61" spans="2:9" x14ac:dyDescent="0.25">
      <c r="B61" s="10" t="s">
        <v>179</v>
      </c>
      <c r="C61" s="7">
        <v>-1288</v>
      </c>
      <c r="D61" s="7">
        <v>-1455</v>
      </c>
      <c r="E61" s="8">
        <v>-1618</v>
      </c>
      <c r="F61" s="110">
        <f t="shared" si="31"/>
        <v>-1453.6666666666667</v>
      </c>
      <c r="G61" s="123">
        <f t="shared" si="32"/>
        <v>-1508.8888888888889</v>
      </c>
      <c r="H61" s="158">
        <f t="shared" si="33"/>
        <v>-1659.7777777777778</v>
      </c>
      <c r="I61" s="55" t="s">
        <v>189</v>
      </c>
    </row>
    <row r="62" spans="2:9" x14ac:dyDescent="0.25">
      <c r="B62" s="10" t="s">
        <v>180</v>
      </c>
      <c r="C62" s="7">
        <v>-3192</v>
      </c>
      <c r="D62" s="7">
        <v>-3037</v>
      </c>
      <c r="E62" s="8">
        <v>-4313</v>
      </c>
      <c r="F62" s="110">
        <f t="shared" si="31"/>
        <v>-3514</v>
      </c>
      <c r="G62" s="123">
        <f t="shared" si="32"/>
        <v>-3621.3333333333335</v>
      </c>
      <c r="H62" s="158">
        <f t="shared" si="33"/>
        <v>-3983.4666666666672</v>
      </c>
      <c r="I62" s="55" t="s">
        <v>189</v>
      </c>
    </row>
    <row r="63" spans="2:9" x14ac:dyDescent="0.25">
      <c r="B63" s="10" t="s">
        <v>174</v>
      </c>
      <c r="C63" s="7">
        <v>-10</v>
      </c>
      <c r="D63" s="7">
        <v>-5</v>
      </c>
      <c r="E63" s="8">
        <v>-1</v>
      </c>
      <c r="F63" s="132">
        <f t="shared" si="31"/>
        <v>-5.333333333333333</v>
      </c>
      <c r="G63" s="123">
        <f t="shared" si="32"/>
        <v>-3.7777777777777772</v>
      </c>
      <c r="H63" s="158">
        <f t="shared" si="33"/>
        <v>-4.155555555555555</v>
      </c>
      <c r="I63" s="55" t="s">
        <v>189</v>
      </c>
    </row>
    <row r="64" spans="2:9" s="72" customFormat="1" x14ac:dyDescent="0.25">
      <c r="B64" s="69" t="s">
        <v>105</v>
      </c>
      <c r="C64" s="87">
        <f t="shared" ref="C64:D64" si="34">SUM(C57:C63)</f>
        <v>-3607</v>
      </c>
      <c r="D64" s="87">
        <f t="shared" si="34"/>
        <v>-5124</v>
      </c>
      <c r="E64" s="88">
        <f>SUM(E57:E63)</f>
        <v>-2735</v>
      </c>
      <c r="F64" s="174">
        <f t="shared" ref="F64:H64" si="35">SUM(F57:F63)</f>
        <v>-3821.9999999999995</v>
      </c>
      <c r="G64" s="175">
        <f t="shared" si="35"/>
        <v>-3893.6666666666665</v>
      </c>
      <c r="H64" s="180">
        <f t="shared" si="35"/>
        <v>-4283.0333333333328</v>
      </c>
      <c r="I64" s="182"/>
    </row>
    <row r="65" spans="2:9" s="72" customFormat="1" x14ac:dyDescent="0.25">
      <c r="B65" s="39" t="s">
        <v>181</v>
      </c>
      <c r="C65" s="87">
        <v>13</v>
      </c>
      <c r="D65" s="87">
        <v>-12</v>
      </c>
      <c r="E65" s="88">
        <v>1</v>
      </c>
      <c r="F65" s="176">
        <f t="shared" ref="F65:F69" si="36">AVERAGE(C65:E65)</f>
        <v>0.66666666666666663</v>
      </c>
      <c r="G65" s="175">
        <f t="shared" ref="G65:G69" si="37">AVERAGE(D65:F65)</f>
        <v>-3.4444444444444446</v>
      </c>
      <c r="H65" s="180">
        <f t="shared" si="33"/>
        <v>-3.7888888888888892</v>
      </c>
      <c r="I65" s="182" t="s">
        <v>189</v>
      </c>
    </row>
    <row r="66" spans="2:9" ht="30" x14ac:dyDescent="0.25">
      <c r="B66" s="22" t="s">
        <v>182</v>
      </c>
      <c r="C66" s="7">
        <v>30</v>
      </c>
      <c r="D66" s="7">
        <v>-23</v>
      </c>
      <c r="E66" s="8">
        <v>193</v>
      </c>
      <c r="F66" s="110">
        <f t="shared" si="36"/>
        <v>66.666666666666671</v>
      </c>
      <c r="G66" s="123">
        <f t="shared" si="37"/>
        <v>78.8888888888889</v>
      </c>
      <c r="H66" s="158">
        <f t="shared" si="33"/>
        <v>86.7777777777778</v>
      </c>
      <c r="I66" s="55" t="s">
        <v>189</v>
      </c>
    </row>
    <row r="67" spans="2:9" x14ac:dyDescent="0.25">
      <c r="B67" s="22" t="s">
        <v>186</v>
      </c>
      <c r="C67" s="7">
        <v>0</v>
      </c>
      <c r="D67" s="7">
        <v>-54</v>
      </c>
      <c r="E67" s="8">
        <v>12</v>
      </c>
      <c r="F67" s="110">
        <f t="shared" si="36"/>
        <v>-14</v>
      </c>
      <c r="G67" s="123">
        <f t="shared" si="37"/>
        <v>-18.666666666666668</v>
      </c>
      <c r="H67" s="158">
        <f t="shared" si="33"/>
        <v>-20.533333333333335</v>
      </c>
      <c r="I67" s="55" t="s">
        <v>189</v>
      </c>
    </row>
    <row r="68" spans="2:9" x14ac:dyDescent="0.25">
      <c r="B68" s="22" t="s">
        <v>183</v>
      </c>
      <c r="C68" s="7">
        <v>30</v>
      </c>
      <c r="D68" s="7">
        <v>-77</v>
      </c>
      <c r="E68" s="8">
        <v>205</v>
      </c>
      <c r="F68" s="110">
        <f t="shared" si="36"/>
        <v>52.666666666666664</v>
      </c>
      <c r="G68" s="123">
        <f t="shared" si="37"/>
        <v>60.222222222222221</v>
      </c>
      <c r="H68" s="158">
        <f t="shared" si="33"/>
        <v>66.244444444444454</v>
      </c>
      <c r="I68" s="55" t="s">
        <v>189</v>
      </c>
    </row>
    <row r="69" spans="2:9" ht="15.75" thickBot="1" x14ac:dyDescent="0.3">
      <c r="B69" s="22" t="s">
        <v>184</v>
      </c>
      <c r="C69" s="7">
        <v>558</v>
      </c>
      <c r="D69" s="7">
        <v>588</v>
      </c>
      <c r="E69" s="8">
        <v>511</v>
      </c>
      <c r="F69" s="110">
        <f t="shared" si="36"/>
        <v>552.33333333333337</v>
      </c>
      <c r="G69" s="127">
        <f t="shared" si="37"/>
        <v>550.44444444444446</v>
      </c>
      <c r="H69" s="158">
        <f t="shared" si="33"/>
        <v>605.48888888888894</v>
      </c>
      <c r="I69" s="55" t="s">
        <v>189</v>
      </c>
    </row>
    <row r="70" spans="2:9" s="72" customFormat="1" ht="15.75" thickBot="1" x14ac:dyDescent="0.3">
      <c r="B70" s="39" t="s">
        <v>185</v>
      </c>
      <c r="C70" s="73">
        <f t="shared" ref="C70:D70" si="38">SUM(C68:C69)</f>
        <v>588</v>
      </c>
      <c r="D70" s="73">
        <f t="shared" si="38"/>
        <v>511</v>
      </c>
      <c r="E70" s="74">
        <f>SUM(E68:E69)</f>
        <v>716</v>
      </c>
      <c r="F70" s="146">
        <f t="shared" ref="F70:H70" si="39">SUM(F68:F69)</f>
        <v>605</v>
      </c>
      <c r="G70" s="147">
        <f t="shared" si="39"/>
        <v>610.66666666666663</v>
      </c>
      <c r="H70" s="160">
        <f t="shared" si="39"/>
        <v>671.73333333333335</v>
      </c>
      <c r="I70" s="169"/>
    </row>
    <row r="71" spans="2:9" ht="16.5" thickTop="1" thickBot="1" x14ac:dyDescent="0.3">
      <c r="B71" s="23"/>
      <c r="C71" s="12"/>
      <c r="D71" s="12"/>
      <c r="E71" s="13"/>
      <c r="F71" s="170"/>
      <c r="G71" s="13"/>
      <c r="H71" s="13"/>
      <c r="I71" s="13"/>
    </row>
    <row r="72" spans="2:9" x14ac:dyDescent="0.25">
      <c r="B72" s="75"/>
      <c r="C72" s="4"/>
      <c r="D72" s="4"/>
      <c r="E72" s="4"/>
    </row>
    <row r="74" spans="2:9" x14ac:dyDescent="0.25">
      <c r="B74" s="190" t="s">
        <v>38</v>
      </c>
      <c r="C74" s="190"/>
      <c r="D74" s="190"/>
    </row>
    <row r="75" spans="2:9" ht="15.75" thickBot="1" x14ac:dyDescent="0.3">
      <c r="B75" s="191"/>
      <c r="C75" s="191"/>
      <c r="D75" s="191"/>
    </row>
    <row r="76" spans="2:9" s="1" customFormat="1" ht="45" x14ac:dyDescent="0.25">
      <c r="B76" s="2"/>
      <c r="C76" s="24" t="s">
        <v>39</v>
      </c>
      <c r="D76" s="24" t="s">
        <v>39</v>
      </c>
      <c r="E76" s="25" t="s">
        <v>39</v>
      </c>
      <c r="F76" s="135" t="s">
        <v>115</v>
      </c>
      <c r="G76" s="118" t="s">
        <v>115</v>
      </c>
      <c r="H76" s="177" t="s">
        <v>118</v>
      </c>
      <c r="I76" s="51" t="s">
        <v>84</v>
      </c>
    </row>
    <row r="77" spans="2:9" s="1" customFormat="1" ht="15.75" thickBot="1" x14ac:dyDescent="0.3">
      <c r="B77" s="6"/>
      <c r="C77" s="28">
        <v>2017</v>
      </c>
      <c r="D77" s="28">
        <v>2018</v>
      </c>
      <c r="E77" s="29">
        <v>2019</v>
      </c>
      <c r="F77" s="105">
        <v>2020</v>
      </c>
      <c r="G77" s="171">
        <v>2021</v>
      </c>
      <c r="H77" s="178">
        <v>2021</v>
      </c>
      <c r="I77" s="181"/>
    </row>
    <row r="78" spans="2:9" x14ac:dyDescent="0.25">
      <c r="B78" s="3" t="s">
        <v>0</v>
      </c>
      <c r="C78" s="4"/>
      <c r="D78" s="4"/>
      <c r="E78" s="5"/>
      <c r="F78" s="121"/>
      <c r="G78" s="172"/>
      <c r="H78" s="179"/>
      <c r="I78" s="54"/>
    </row>
    <row r="79" spans="2:9" x14ac:dyDescent="0.25">
      <c r="B79" s="6" t="s">
        <v>30</v>
      </c>
      <c r="C79" s="7"/>
      <c r="D79" s="7"/>
      <c r="E79" s="101"/>
      <c r="F79" s="107"/>
      <c r="G79" s="183"/>
      <c r="H79" s="187"/>
      <c r="I79" s="53"/>
    </row>
    <row r="80" spans="2:9" x14ac:dyDescent="0.25">
      <c r="B80" s="10" t="s">
        <v>1</v>
      </c>
      <c r="C80" s="7"/>
      <c r="D80" s="7">
        <f t="shared" ref="D80:H80" si="40">D70</f>
        <v>511</v>
      </c>
      <c r="E80" s="101">
        <f t="shared" si="40"/>
        <v>716</v>
      </c>
      <c r="F80" s="107">
        <f t="shared" si="40"/>
        <v>605</v>
      </c>
      <c r="G80" s="183">
        <f t="shared" si="40"/>
        <v>610.66666666666663</v>
      </c>
      <c r="H80" s="187">
        <f t="shared" si="40"/>
        <v>671.73333333333335</v>
      </c>
      <c r="I80" s="53"/>
    </row>
    <row r="81" spans="2:9" x14ac:dyDescent="0.25">
      <c r="B81" s="10" t="s">
        <v>130</v>
      </c>
      <c r="C81" s="20"/>
      <c r="D81" s="7">
        <v>218</v>
      </c>
      <c r="E81" s="8">
        <v>160</v>
      </c>
      <c r="F81" s="110">
        <f t="shared" ref="F81:F83" si="41">AVERAGE(C81:E81)</f>
        <v>189</v>
      </c>
      <c r="G81" s="123">
        <f t="shared" ref="G81:G83" si="42">AVERAGE(D81:F81)</f>
        <v>189</v>
      </c>
      <c r="H81" s="158">
        <f>0.95*G81</f>
        <v>179.54999999999998</v>
      </c>
      <c r="I81" s="55" t="s">
        <v>191</v>
      </c>
    </row>
    <row r="82" spans="2:9" x14ac:dyDescent="0.25">
      <c r="B82" s="10" t="s">
        <v>129</v>
      </c>
      <c r="C82" s="20"/>
      <c r="D82" s="33">
        <v>12561</v>
      </c>
      <c r="E82" s="8">
        <v>13179</v>
      </c>
      <c r="F82" s="110">
        <f t="shared" si="41"/>
        <v>12870</v>
      </c>
      <c r="G82" s="123">
        <f t="shared" si="42"/>
        <v>12870</v>
      </c>
      <c r="H82" s="158">
        <f>G82</f>
        <v>12870</v>
      </c>
      <c r="I82" s="55" t="s">
        <v>192</v>
      </c>
    </row>
    <row r="83" spans="2:9" ht="15.75" thickBot="1" x14ac:dyDescent="0.3">
      <c r="B83" s="10" t="s">
        <v>4</v>
      </c>
      <c r="C83" s="20"/>
      <c r="D83" s="33">
        <v>938</v>
      </c>
      <c r="E83" s="34">
        <v>1263</v>
      </c>
      <c r="F83" s="114">
        <f t="shared" si="41"/>
        <v>1100.5</v>
      </c>
      <c r="G83" s="139">
        <f t="shared" si="42"/>
        <v>1100.5</v>
      </c>
      <c r="H83" s="155">
        <f>1.191*G83</f>
        <v>1310.6955</v>
      </c>
      <c r="I83" s="56" t="s">
        <v>195</v>
      </c>
    </row>
    <row r="84" spans="2:9" s="72" customFormat="1" ht="15.75" thickBot="1" x14ac:dyDescent="0.3">
      <c r="B84" s="69" t="s">
        <v>5</v>
      </c>
      <c r="C84" s="70"/>
      <c r="D84" s="70">
        <f>SUM(D80:D83)</f>
        <v>14228</v>
      </c>
      <c r="E84" s="71">
        <f>SUM(E80:E83)</f>
        <v>15318</v>
      </c>
      <c r="F84" s="143">
        <f t="shared" ref="F84:I84" si="43">SUM(F80:F83)</f>
        <v>14764.5</v>
      </c>
      <c r="G84" s="144">
        <f t="shared" si="43"/>
        <v>14770.166666666666</v>
      </c>
      <c r="H84" s="159">
        <f t="shared" si="43"/>
        <v>15031.978833333333</v>
      </c>
      <c r="I84" s="168">
        <f t="shared" si="43"/>
        <v>0</v>
      </c>
    </row>
    <row r="85" spans="2:9" x14ac:dyDescent="0.25">
      <c r="B85" s="6" t="s">
        <v>131</v>
      </c>
      <c r="C85" s="7"/>
      <c r="D85" s="7">
        <v>18432</v>
      </c>
      <c r="E85" s="8">
        <v>18669</v>
      </c>
      <c r="F85" s="184">
        <f t="shared" ref="F85:F90" si="44">AVERAGE(C85:E85)</f>
        <v>18550.5</v>
      </c>
      <c r="G85" s="145">
        <f t="shared" ref="G85:G90" si="45">AVERAGE(D85:F85)</f>
        <v>18550.5</v>
      </c>
      <c r="H85" s="158">
        <f>G85</f>
        <v>18550.5</v>
      </c>
      <c r="I85" s="55" t="s">
        <v>192</v>
      </c>
    </row>
    <row r="86" spans="2:9" x14ac:dyDescent="0.25">
      <c r="B86" s="6" t="s">
        <v>7</v>
      </c>
      <c r="C86" s="7"/>
      <c r="D86" s="7">
        <v>0</v>
      </c>
      <c r="E86" s="8">
        <v>3891</v>
      </c>
      <c r="F86" s="132">
        <f t="shared" si="44"/>
        <v>1945.5</v>
      </c>
      <c r="G86" s="123">
        <f t="shared" si="45"/>
        <v>1945.5</v>
      </c>
      <c r="H86" s="158">
        <f>G86</f>
        <v>1945.5</v>
      </c>
      <c r="I86" s="55" t="s">
        <v>192</v>
      </c>
    </row>
    <row r="87" spans="2:9" x14ac:dyDescent="0.25">
      <c r="B87" s="6" t="s">
        <v>132</v>
      </c>
      <c r="C87" s="7"/>
      <c r="D87" s="7">
        <v>256</v>
      </c>
      <c r="E87" s="8">
        <v>372</v>
      </c>
      <c r="F87" s="132">
        <f t="shared" si="44"/>
        <v>314</v>
      </c>
      <c r="G87" s="123">
        <f t="shared" si="45"/>
        <v>314</v>
      </c>
      <c r="H87" s="158">
        <f>G87</f>
        <v>314</v>
      </c>
      <c r="I87" s="55" t="s">
        <v>192</v>
      </c>
    </row>
    <row r="88" spans="2:9" x14ac:dyDescent="0.25">
      <c r="B88" s="6" t="s">
        <v>133</v>
      </c>
      <c r="C88" s="7"/>
      <c r="D88" s="7">
        <v>294</v>
      </c>
      <c r="E88" s="8">
        <v>216</v>
      </c>
      <c r="F88" s="132">
        <f t="shared" si="44"/>
        <v>255</v>
      </c>
      <c r="G88" s="123">
        <f t="shared" si="45"/>
        <v>255</v>
      </c>
      <c r="H88" s="158">
        <f t="shared" ref="H83:H90" si="46">1.1*G88</f>
        <v>280.5</v>
      </c>
      <c r="I88" s="55" t="s">
        <v>189</v>
      </c>
    </row>
    <row r="89" spans="2:9" x14ac:dyDescent="0.25">
      <c r="B89" s="6" t="s">
        <v>8</v>
      </c>
      <c r="C89" s="7"/>
      <c r="D89" s="7">
        <v>303</v>
      </c>
      <c r="E89" s="8">
        <v>303</v>
      </c>
      <c r="F89" s="132">
        <f t="shared" si="44"/>
        <v>303</v>
      </c>
      <c r="G89" s="123">
        <f t="shared" si="45"/>
        <v>303</v>
      </c>
      <c r="H89" s="158">
        <f>G89</f>
        <v>303</v>
      </c>
      <c r="I89" s="55" t="s">
        <v>192</v>
      </c>
    </row>
    <row r="90" spans="2:9" ht="15.75" thickBot="1" x14ac:dyDescent="0.3">
      <c r="B90" s="6" t="s">
        <v>9</v>
      </c>
      <c r="C90" s="7"/>
      <c r="D90" s="7">
        <v>995</v>
      </c>
      <c r="E90" s="8">
        <v>702</v>
      </c>
      <c r="F90" s="132">
        <f t="shared" si="44"/>
        <v>848.5</v>
      </c>
      <c r="G90" s="123">
        <f t="shared" si="45"/>
        <v>848.5</v>
      </c>
      <c r="H90" s="158">
        <f t="shared" si="46"/>
        <v>933.35</v>
      </c>
      <c r="I90" s="55" t="s">
        <v>189</v>
      </c>
    </row>
    <row r="91" spans="2:9" s="72" customFormat="1" ht="15.75" thickBot="1" x14ac:dyDescent="0.3">
      <c r="B91" s="69" t="s">
        <v>10</v>
      </c>
      <c r="C91" s="73"/>
      <c r="D91" s="73">
        <f>SUM(D84,D85:D90)</f>
        <v>34508</v>
      </c>
      <c r="E91" s="74">
        <f>SUM(E84,E85:E90)</f>
        <v>39471</v>
      </c>
      <c r="F91" s="185">
        <f t="shared" ref="F91:I91" si="47">SUM(F84,F85:F90)</f>
        <v>36981</v>
      </c>
      <c r="G91" s="147">
        <f t="shared" si="47"/>
        <v>36986.666666666664</v>
      </c>
      <c r="H91" s="160">
        <f t="shared" si="47"/>
        <v>37358.828833333333</v>
      </c>
      <c r="I91" s="169"/>
    </row>
    <row r="92" spans="2:9" ht="15.75" thickTop="1" x14ac:dyDescent="0.25">
      <c r="B92" s="6"/>
      <c r="C92" s="7"/>
      <c r="D92" s="7"/>
      <c r="E92" s="8"/>
      <c r="F92" s="132"/>
      <c r="G92" s="123"/>
      <c r="H92" s="158"/>
      <c r="I92" s="55"/>
    </row>
    <row r="93" spans="2:9" x14ac:dyDescent="0.25">
      <c r="B93" s="3" t="s">
        <v>11</v>
      </c>
      <c r="C93" s="7"/>
      <c r="D93" s="7"/>
      <c r="E93" s="8"/>
      <c r="F93" s="132"/>
      <c r="G93" s="123"/>
      <c r="H93" s="158"/>
      <c r="I93" s="55"/>
    </row>
    <row r="94" spans="2:9" x14ac:dyDescent="0.25">
      <c r="B94" s="3" t="s">
        <v>31</v>
      </c>
      <c r="C94" s="7"/>
      <c r="D94" s="7"/>
      <c r="E94" s="8"/>
      <c r="F94" s="132"/>
      <c r="G94" s="123"/>
      <c r="H94" s="158"/>
      <c r="I94" s="55"/>
    </row>
    <row r="95" spans="2:9" x14ac:dyDescent="0.25">
      <c r="B95" s="10" t="s">
        <v>134</v>
      </c>
      <c r="C95" s="7"/>
      <c r="D95" s="7">
        <v>722</v>
      </c>
      <c r="E95" s="8">
        <v>1941</v>
      </c>
      <c r="F95" s="132">
        <f t="shared" ref="F95:F101" si="48">AVERAGE(C95:E95)</f>
        <v>1331.5</v>
      </c>
      <c r="G95" s="123">
        <f t="shared" ref="G95:G101" si="49">AVERAGE(D95:F95)</f>
        <v>1331.5</v>
      </c>
      <c r="H95" s="158">
        <f>1.05*G95</f>
        <v>1398.075</v>
      </c>
      <c r="I95" s="55" t="s">
        <v>193</v>
      </c>
    </row>
    <row r="96" spans="2:9" x14ac:dyDescent="0.25">
      <c r="B96" s="10" t="s">
        <v>135</v>
      </c>
      <c r="C96" s="7"/>
      <c r="D96" s="7">
        <v>1110</v>
      </c>
      <c r="E96" s="8">
        <v>597</v>
      </c>
      <c r="F96" s="132">
        <f t="shared" si="48"/>
        <v>853.5</v>
      </c>
      <c r="G96" s="123">
        <f t="shared" si="49"/>
        <v>853.5</v>
      </c>
      <c r="H96" s="158">
        <f>0.7*G96</f>
        <v>597.44999999999993</v>
      </c>
      <c r="I96" s="55" t="s">
        <v>194</v>
      </c>
    </row>
    <row r="97" spans="2:9" x14ac:dyDescent="0.25">
      <c r="B97" s="10" t="s">
        <v>19</v>
      </c>
      <c r="C97" s="7"/>
      <c r="D97" s="7">
        <v>0</v>
      </c>
      <c r="E97" s="8">
        <v>501</v>
      </c>
      <c r="F97" s="132">
        <f t="shared" si="48"/>
        <v>250.5</v>
      </c>
      <c r="G97" s="123">
        <f t="shared" si="49"/>
        <v>250.5</v>
      </c>
      <c r="H97" s="158">
        <f>G97</f>
        <v>250.5</v>
      </c>
      <c r="I97" s="55" t="s">
        <v>192</v>
      </c>
    </row>
    <row r="98" spans="2:9" x14ac:dyDescent="0.25">
      <c r="B98" s="10" t="s">
        <v>13</v>
      </c>
      <c r="C98" s="7"/>
      <c r="D98" s="7">
        <v>8279</v>
      </c>
      <c r="E98" s="8">
        <v>7659</v>
      </c>
      <c r="F98" s="132">
        <f t="shared" si="48"/>
        <v>7969</v>
      </c>
      <c r="G98" s="123">
        <f t="shared" si="49"/>
        <v>7969</v>
      </c>
      <c r="H98" s="158">
        <f>G98</f>
        <v>7969</v>
      </c>
      <c r="I98" s="55" t="s">
        <v>192</v>
      </c>
    </row>
    <row r="99" spans="2:9" x14ac:dyDescent="0.25">
      <c r="B99" s="10" t="s">
        <v>14</v>
      </c>
      <c r="C99" s="7"/>
      <c r="D99" s="7">
        <v>662</v>
      </c>
      <c r="E99" s="8">
        <v>684</v>
      </c>
      <c r="F99" s="132">
        <f t="shared" si="48"/>
        <v>673</v>
      </c>
      <c r="G99" s="123">
        <f t="shared" si="49"/>
        <v>673</v>
      </c>
      <c r="H99" s="158">
        <f t="shared" ref="H99:H101" si="50">1.1*G99</f>
        <v>740.30000000000007</v>
      </c>
      <c r="I99" s="55" t="s">
        <v>189</v>
      </c>
    </row>
    <row r="100" spans="2:9" x14ac:dyDescent="0.25">
      <c r="B100" s="10" t="s">
        <v>16</v>
      </c>
      <c r="C100" s="7"/>
      <c r="D100" s="7">
        <v>1299</v>
      </c>
      <c r="E100" s="8">
        <v>1219</v>
      </c>
      <c r="F100" s="132">
        <f t="shared" si="48"/>
        <v>1259</v>
      </c>
      <c r="G100" s="123">
        <f t="shared" si="49"/>
        <v>1259</v>
      </c>
      <c r="H100" s="158">
        <f>G100</f>
        <v>1259</v>
      </c>
      <c r="I100" s="55" t="s">
        <v>192</v>
      </c>
    </row>
    <row r="101" spans="2:9" ht="15.75" thickBot="1" x14ac:dyDescent="0.3">
      <c r="B101" s="10" t="s">
        <v>143</v>
      </c>
      <c r="C101" s="7"/>
      <c r="D101" s="7">
        <v>2425</v>
      </c>
      <c r="E101" s="8">
        <v>2581</v>
      </c>
      <c r="F101" s="132">
        <f t="shared" si="48"/>
        <v>2503</v>
      </c>
      <c r="G101" s="123">
        <f t="shared" si="49"/>
        <v>2503</v>
      </c>
      <c r="H101" s="158">
        <f t="shared" si="50"/>
        <v>2753.3</v>
      </c>
      <c r="I101" s="55" t="s">
        <v>189</v>
      </c>
    </row>
    <row r="102" spans="2:9" s="72" customFormat="1" ht="15.75" thickBot="1" x14ac:dyDescent="0.3">
      <c r="B102" s="69" t="s">
        <v>35</v>
      </c>
      <c r="C102" s="87"/>
      <c r="D102" s="70">
        <f>SUM(D95:D101)</f>
        <v>14497</v>
      </c>
      <c r="E102" s="71">
        <f>SUM(E95:E101)</f>
        <v>15182</v>
      </c>
      <c r="F102" s="186">
        <f t="shared" ref="F102:I102" si="51">SUM(F95:F101)</f>
        <v>14839.5</v>
      </c>
      <c r="G102" s="144">
        <f t="shared" si="51"/>
        <v>14839.5</v>
      </c>
      <c r="H102" s="159">
        <f t="shared" si="51"/>
        <v>14967.625</v>
      </c>
      <c r="I102" s="168"/>
    </row>
    <row r="103" spans="2:9" x14ac:dyDescent="0.25">
      <c r="B103" s="22" t="s">
        <v>144</v>
      </c>
      <c r="C103" s="7"/>
      <c r="D103" s="7">
        <v>14391</v>
      </c>
      <c r="E103" s="8">
        <v>16768</v>
      </c>
      <c r="F103" s="132">
        <f t="shared" ref="F103:F106" si="52">AVERAGE(C103:E103)</f>
        <v>15579.5</v>
      </c>
      <c r="G103" s="123">
        <f t="shared" ref="G103:G106" si="53">AVERAGE(D103:F103)</f>
        <v>15579.5</v>
      </c>
      <c r="H103" s="158">
        <f>G103</f>
        <v>15579.5</v>
      </c>
      <c r="I103" s="55" t="s">
        <v>192</v>
      </c>
    </row>
    <row r="104" spans="2:9" x14ac:dyDescent="0.25">
      <c r="B104" s="22" t="s">
        <v>145</v>
      </c>
      <c r="C104" s="7"/>
      <c r="D104" s="7">
        <v>0</v>
      </c>
      <c r="E104" s="8">
        <v>3943</v>
      </c>
      <c r="F104" s="132">
        <f t="shared" si="52"/>
        <v>1971.5</v>
      </c>
      <c r="G104" s="123">
        <f t="shared" si="53"/>
        <v>1971.5</v>
      </c>
      <c r="H104" s="158">
        <f>G104</f>
        <v>1971.5</v>
      </c>
      <c r="I104" s="55" t="s">
        <v>192</v>
      </c>
    </row>
    <row r="105" spans="2:9" x14ac:dyDescent="0.25">
      <c r="B105" s="22" t="s">
        <v>146</v>
      </c>
      <c r="C105" s="7"/>
      <c r="D105" s="7">
        <v>827</v>
      </c>
      <c r="E105" s="8">
        <v>894</v>
      </c>
      <c r="F105" s="132">
        <f t="shared" si="52"/>
        <v>860.5</v>
      </c>
      <c r="G105" s="123">
        <f t="shared" si="53"/>
        <v>860.5</v>
      </c>
      <c r="H105" s="158">
        <f>G105</f>
        <v>860.5</v>
      </c>
      <c r="I105" s="55" t="s">
        <v>192</v>
      </c>
    </row>
    <row r="106" spans="2:9" ht="15.75" thickBot="1" x14ac:dyDescent="0.3">
      <c r="B106" s="22" t="s">
        <v>147</v>
      </c>
      <c r="C106" s="7"/>
      <c r="D106" s="7">
        <v>1149</v>
      </c>
      <c r="E106" s="8">
        <v>712</v>
      </c>
      <c r="F106" s="132">
        <f t="shared" si="52"/>
        <v>930.5</v>
      </c>
      <c r="G106" s="123">
        <f t="shared" si="53"/>
        <v>930.5</v>
      </c>
      <c r="H106" s="158">
        <f>G106</f>
        <v>930.5</v>
      </c>
      <c r="I106" s="55" t="s">
        <v>192</v>
      </c>
    </row>
    <row r="107" spans="2:9" s="72" customFormat="1" ht="15.75" thickBot="1" x14ac:dyDescent="0.3">
      <c r="B107" s="69" t="s">
        <v>24</v>
      </c>
      <c r="C107" s="73">
        <f>SUM(C102:C106)</f>
        <v>0</v>
      </c>
      <c r="D107" s="73">
        <f>SUM(D102:D106)</f>
        <v>30864</v>
      </c>
      <c r="E107" s="74">
        <f>SUM(E102:E106)</f>
        <v>37499</v>
      </c>
      <c r="F107" s="185">
        <f t="shared" ref="F107:I107" si="54">SUM(F102:F106)</f>
        <v>34181.5</v>
      </c>
      <c r="G107" s="147">
        <f t="shared" si="54"/>
        <v>34181.5</v>
      </c>
      <c r="H107" s="160">
        <f t="shared" si="54"/>
        <v>34309.625</v>
      </c>
      <c r="I107" s="169"/>
    </row>
    <row r="108" spans="2:9" ht="15.75" thickTop="1" x14ac:dyDescent="0.25">
      <c r="B108" s="6" t="s">
        <v>148</v>
      </c>
      <c r="C108" s="7"/>
      <c r="D108" s="7"/>
      <c r="E108" s="8"/>
      <c r="F108" s="132"/>
      <c r="G108" s="123"/>
      <c r="H108" s="158"/>
      <c r="I108" s="55"/>
    </row>
    <row r="109" spans="2:9" x14ac:dyDescent="0.25">
      <c r="B109" s="3" t="s">
        <v>149</v>
      </c>
      <c r="C109" s="7"/>
      <c r="D109" s="7"/>
      <c r="E109" s="8"/>
      <c r="F109" s="132"/>
      <c r="G109" s="123"/>
      <c r="H109" s="158"/>
      <c r="I109" s="55"/>
    </row>
    <row r="110" spans="2:9" x14ac:dyDescent="0.25">
      <c r="B110" s="9" t="s">
        <v>150</v>
      </c>
      <c r="C110" s="7"/>
      <c r="D110" s="7">
        <v>0</v>
      </c>
      <c r="E110" s="8">
        <v>0</v>
      </c>
      <c r="F110" s="132">
        <f t="shared" ref="F110:F117" si="55">AVERAGE(C110:E110)</f>
        <v>0</v>
      </c>
      <c r="G110" s="123">
        <f t="shared" ref="G110:G117" si="56">AVERAGE(D110:F110)</f>
        <v>0</v>
      </c>
      <c r="H110" s="158">
        <f t="shared" ref="H110:H117" si="57">1.1*G110</f>
        <v>0</v>
      </c>
      <c r="I110" s="55" t="s">
        <v>189</v>
      </c>
    </row>
    <row r="111" spans="2:9" x14ac:dyDescent="0.25">
      <c r="B111" s="9" t="s">
        <v>151</v>
      </c>
      <c r="C111" s="7"/>
      <c r="D111" s="7"/>
      <c r="E111" s="8"/>
      <c r="F111" s="132"/>
      <c r="G111" s="123"/>
      <c r="H111" s="158"/>
      <c r="I111" s="55"/>
    </row>
    <row r="112" spans="2:9" x14ac:dyDescent="0.25">
      <c r="B112" s="11" t="s">
        <v>152</v>
      </c>
      <c r="C112" s="7"/>
      <c r="D112" s="7"/>
      <c r="E112" s="8"/>
      <c r="F112" s="132"/>
      <c r="G112" s="123"/>
      <c r="H112" s="158"/>
      <c r="I112" s="55"/>
    </row>
    <row r="113" spans="2:9" x14ac:dyDescent="0.25">
      <c r="B113" s="90">
        <v>43861</v>
      </c>
      <c r="C113" s="7"/>
      <c r="D113" s="7"/>
      <c r="E113" s="8"/>
      <c r="F113" s="132"/>
      <c r="G113" s="123"/>
      <c r="H113" s="158"/>
      <c r="I113" s="55"/>
    </row>
    <row r="114" spans="2:9" x14ac:dyDescent="0.25">
      <c r="B114" s="90">
        <v>43497</v>
      </c>
      <c r="C114" s="7"/>
      <c r="D114" s="7">
        <v>401</v>
      </c>
      <c r="E114" s="8">
        <v>381</v>
      </c>
      <c r="F114" s="132">
        <f t="shared" si="55"/>
        <v>391</v>
      </c>
      <c r="G114" s="123">
        <f t="shared" si="56"/>
        <v>391</v>
      </c>
      <c r="H114" s="158">
        <f>G114</f>
        <v>391</v>
      </c>
      <c r="I114" s="55" t="s">
        <v>192</v>
      </c>
    </row>
    <row r="115" spans="2:9" x14ac:dyDescent="0.25">
      <c r="B115" s="89" t="s">
        <v>153</v>
      </c>
      <c r="C115" s="7"/>
      <c r="D115" s="7">
        <v>0</v>
      </c>
      <c r="E115" s="8">
        <v>0</v>
      </c>
      <c r="F115" s="132">
        <f t="shared" si="55"/>
        <v>0</v>
      </c>
      <c r="G115" s="123">
        <f t="shared" si="56"/>
        <v>0</v>
      </c>
      <c r="H115" s="158">
        <f t="shared" si="57"/>
        <v>0</v>
      </c>
      <c r="I115" s="55" t="s">
        <v>189</v>
      </c>
    </row>
    <row r="116" spans="2:9" x14ac:dyDescent="0.25">
      <c r="B116" s="89" t="s">
        <v>27</v>
      </c>
      <c r="C116" s="7"/>
      <c r="D116" s="7">
        <v>3452</v>
      </c>
      <c r="E116" s="8">
        <v>1727</v>
      </c>
      <c r="F116" s="132">
        <f t="shared" si="55"/>
        <v>2589.5</v>
      </c>
      <c r="G116" s="123">
        <f t="shared" si="56"/>
        <v>2589.5</v>
      </c>
      <c r="H116" s="158">
        <f t="shared" si="57"/>
        <v>2848.4500000000003</v>
      </c>
      <c r="I116" s="55" t="s">
        <v>189</v>
      </c>
    </row>
    <row r="117" spans="2:9" ht="15.75" thickBot="1" x14ac:dyDescent="0.3">
      <c r="B117" s="89" t="s">
        <v>32</v>
      </c>
      <c r="C117" s="7"/>
      <c r="D117" s="7">
        <v>-209</v>
      </c>
      <c r="E117" s="8">
        <v>-136</v>
      </c>
      <c r="F117" s="132">
        <f t="shared" si="55"/>
        <v>-172.5</v>
      </c>
      <c r="G117" s="123">
        <f t="shared" si="56"/>
        <v>-172.5</v>
      </c>
      <c r="H117" s="158">
        <f t="shared" si="57"/>
        <v>-189.75000000000003</v>
      </c>
      <c r="I117" s="55" t="s">
        <v>189</v>
      </c>
    </row>
    <row r="118" spans="2:9" s="72" customFormat="1" ht="15.75" thickBot="1" x14ac:dyDescent="0.3">
      <c r="B118" s="91" t="s">
        <v>28</v>
      </c>
      <c r="C118" s="70">
        <f>SUM(C109:C113)</f>
        <v>0</v>
      </c>
      <c r="D118" s="70">
        <f>SUM(D114:D117)</f>
        <v>3644</v>
      </c>
      <c r="E118" s="71">
        <f>SUM(E114:E117)</f>
        <v>1972</v>
      </c>
      <c r="F118" s="186">
        <f t="shared" ref="F118:I118" si="58">SUM(F114:F117)</f>
        <v>2808</v>
      </c>
      <c r="G118" s="144">
        <f t="shared" si="58"/>
        <v>2808</v>
      </c>
      <c r="H118" s="159">
        <f t="shared" si="58"/>
        <v>3049.7000000000003</v>
      </c>
      <c r="I118" s="168"/>
    </row>
    <row r="119" spans="2:9" s="72" customFormat="1" ht="15.75" thickBot="1" x14ac:dyDescent="0.3">
      <c r="B119" s="91" t="s">
        <v>29</v>
      </c>
      <c r="C119" s="73">
        <f>SUM(C107,C118)</f>
        <v>0</v>
      </c>
      <c r="D119" s="73">
        <f>SUM(D107,D118)</f>
        <v>34508</v>
      </c>
      <c r="E119" s="74">
        <f>SUM(E107,E118)</f>
        <v>39471</v>
      </c>
      <c r="F119" s="185">
        <f t="shared" ref="F119:I119" si="59">SUM(F107,F118)</f>
        <v>36989.5</v>
      </c>
      <c r="G119" s="147">
        <f t="shared" si="59"/>
        <v>36989.5</v>
      </c>
      <c r="H119" s="160">
        <f t="shared" si="59"/>
        <v>37359.324999999997</v>
      </c>
      <c r="I119" s="169"/>
    </row>
    <row r="120" spans="2:9" ht="16.5" thickTop="1" thickBot="1" x14ac:dyDescent="0.3">
      <c r="B120" s="23"/>
      <c r="C120" s="12"/>
      <c r="D120" s="12"/>
      <c r="E120" s="13"/>
      <c r="F120" s="188"/>
      <c r="G120" s="189"/>
      <c r="H120" s="189"/>
      <c r="I120" s="189"/>
    </row>
  </sheetData>
  <mergeCells count="3">
    <mergeCell ref="B74:D75"/>
    <mergeCell ref="B3:E4"/>
    <mergeCell ref="B25:E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HOME DEPOT FINANCIALS</vt:lpstr>
      <vt:lpstr>THE HOME DEPOT PROFORMA</vt:lpstr>
      <vt:lpstr>LOWE'S PROFORMA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2020-10-01T00:50:11Z</dcterms:created>
  <dcterms:modified xsi:type="dcterms:W3CDTF">2020-10-01T10:51:53Z</dcterms:modified>
</cp:coreProperties>
</file>