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8925" windowHeight="7290"/>
  </bookViews>
  <sheets>
    <sheet name="Sales Budget" sheetId="1" r:id="rId1"/>
    <sheet name="Cash Receipts Budget" sheetId="2" r:id="rId2"/>
    <sheet name="Production Budget" sheetId="3" r:id="rId3"/>
    <sheet name="Direct Materials Budget" sheetId="4" r:id="rId4"/>
    <sheet name="Cash Disbursements Budget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5" l="1"/>
  <c r="F19" i="5"/>
  <c r="F17" i="5"/>
  <c r="F12" i="5"/>
  <c r="F6" i="5"/>
  <c r="E19" i="5"/>
  <c r="C19" i="5"/>
  <c r="D19" i="5"/>
  <c r="B19" i="5"/>
  <c r="E18" i="5"/>
  <c r="D18" i="5"/>
  <c r="C18" i="5"/>
  <c r="E17" i="5"/>
  <c r="C17" i="5"/>
  <c r="D17" i="5"/>
  <c r="B17" i="5"/>
  <c r="C16" i="5"/>
  <c r="D16" i="5" s="1"/>
  <c r="E16" i="5" s="1"/>
  <c r="C15" i="5"/>
  <c r="D15" i="5" s="1"/>
  <c r="E15" i="5" s="1"/>
  <c r="D14" i="5"/>
  <c r="E14" i="5" s="1"/>
  <c r="C14" i="5"/>
  <c r="C12" i="5"/>
  <c r="D12" i="5"/>
  <c r="E12" i="5"/>
  <c r="B12" i="5"/>
  <c r="C10" i="5"/>
  <c r="D10" i="5"/>
  <c r="E10" i="5"/>
  <c r="B10" i="5"/>
  <c r="C8" i="5"/>
  <c r="D8" i="5"/>
  <c r="E8" i="5"/>
  <c r="B8" i="5"/>
  <c r="C6" i="5"/>
  <c r="D6" i="5"/>
  <c r="E6" i="5"/>
  <c r="B6" i="5"/>
  <c r="C5" i="5"/>
  <c r="D5" i="5"/>
  <c r="E5" i="5"/>
  <c r="C4" i="5"/>
  <c r="D4" i="5"/>
  <c r="E4" i="5"/>
  <c r="B5" i="5"/>
  <c r="B4" i="5"/>
  <c r="G27" i="4"/>
  <c r="G26" i="4"/>
  <c r="G22" i="4"/>
  <c r="C23" i="4"/>
  <c r="D23" i="4"/>
  <c r="E23" i="4"/>
  <c r="E24" i="4" s="1"/>
  <c r="E26" i="4" s="1"/>
  <c r="E27" i="4" s="1"/>
  <c r="F23" i="4"/>
  <c r="F24" i="4" s="1"/>
  <c r="F26" i="4" s="1"/>
  <c r="F27" i="4" s="1"/>
  <c r="B23" i="4"/>
  <c r="C21" i="4"/>
  <c r="D21" i="4"/>
  <c r="E21" i="4"/>
  <c r="B21" i="4"/>
  <c r="B22" i="4"/>
  <c r="D24" i="4"/>
  <c r="D26" i="4" s="1"/>
  <c r="D27" i="4" s="1"/>
  <c r="E22" i="4"/>
  <c r="C22" i="4"/>
  <c r="C24" i="4" s="1"/>
  <c r="C26" i="4" s="1"/>
  <c r="C27" i="4" s="1"/>
  <c r="D22" i="4"/>
  <c r="F22" i="4"/>
  <c r="C20" i="4"/>
  <c r="D20" i="4"/>
  <c r="E20" i="4"/>
  <c r="B20" i="4"/>
  <c r="C19" i="4"/>
  <c r="D19" i="4"/>
  <c r="E19" i="4"/>
  <c r="F19" i="4"/>
  <c r="B19" i="4"/>
  <c r="G17" i="4"/>
  <c r="C17" i="4"/>
  <c r="D17" i="4"/>
  <c r="E17" i="4"/>
  <c r="F17" i="4"/>
  <c r="B17" i="4"/>
  <c r="C16" i="4"/>
  <c r="D16" i="4"/>
  <c r="E16" i="4"/>
  <c r="B16" i="4"/>
  <c r="C14" i="4"/>
  <c r="D14" i="4"/>
  <c r="E14" i="4"/>
  <c r="B14" i="4"/>
  <c r="C12" i="4"/>
  <c r="D12" i="4"/>
  <c r="E12" i="4"/>
  <c r="B12" i="4"/>
  <c r="C10" i="4"/>
  <c r="D10" i="4"/>
  <c r="E10" i="4"/>
  <c r="B10" i="4"/>
  <c r="G9" i="4"/>
  <c r="C9" i="4"/>
  <c r="D9" i="4"/>
  <c r="E9" i="4"/>
  <c r="F9" i="4"/>
  <c r="B9" i="4"/>
  <c r="G7" i="4"/>
  <c r="C7" i="4"/>
  <c r="D7" i="4"/>
  <c r="E7" i="4"/>
  <c r="F7" i="4"/>
  <c r="B7" i="4"/>
  <c r="C6" i="4"/>
  <c r="D6" i="4"/>
  <c r="E6" i="4"/>
  <c r="B6" i="4"/>
  <c r="C4" i="4"/>
  <c r="D4" i="4"/>
  <c r="E4" i="4"/>
  <c r="B4" i="4"/>
  <c r="C14" i="3"/>
  <c r="D14" i="3"/>
  <c r="E14" i="3"/>
  <c r="F14" i="3"/>
  <c r="B14" i="3"/>
  <c r="C13" i="3"/>
  <c r="G13" i="3" s="1"/>
  <c r="D13" i="3"/>
  <c r="E13" i="3"/>
  <c r="F13" i="3"/>
  <c r="B13" i="3"/>
  <c r="F12" i="3"/>
  <c r="C12" i="3"/>
  <c r="D12" i="3"/>
  <c r="E12" i="3"/>
  <c r="B12" i="3"/>
  <c r="B11" i="3"/>
  <c r="B5" i="3"/>
  <c r="B6" i="3" s="1"/>
  <c r="C10" i="3"/>
  <c r="D10" i="3"/>
  <c r="C11" i="3" s="1"/>
  <c r="G11" i="3" s="1"/>
  <c r="E10" i="3"/>
  <c r="D11" i="3" s="1"/>
  <c r="F10" i="3"/>
  <c r="E11" i="3" s="1"/>
  <c r="B10" i="3"/>
  <c r="G12" i="3"/>
  <c r="G14" i="3"/>
  <c r="G15" i="3"/>
  <c r="F7" i="3"/>
  <c r="G16" i="3"/>
  <c r="C4" i="3"/>
  <c r="C7" i="3" s="1"/>
  <c r="D4" i="3"/>
  <c r="C5" i="3" s="1"/>
  <c r="E4" i="3"/>
  <c r="F4" i="3"/>
  <c r="F6" i="3" s="1"/>
  <c r="F8" i="3" s="1"/>
  <c r="F4" i="4" s="1"/>
  <c r="B4" i="3"/>
  <c r="B7" i="3" s="1"/>
  <c r="C5" i="2"/>
  <c r="D5" i="2"/>
  <c r="E5" i="2"/>
  <c r="B5" i="2"/>
  <c r="F3" i="2"/>
  <c r="D4" i="2"/>
  <c r="D6" i="2" s="1"/>
  <c r="E4" i="2"/>
  <c r="E6" i="2" s="1"/>
  <c r="B4" i="2"/>
  <c r="F4" i="2" s="1"/>
  <c r="C4" i="2"/>
  <c r="C6" i="2" s="1"/>
  <c r="C11" i="1"/>
  <c r="D11" i="1"/>
  <c r="E11" i="1"/>
  <c r="F11" i="1"/>
  <c r="B11" i="1"/>
  <c r="C10" i="1"/>
  <c r="D10" i="1"/>
  <c r="E10" i="1"/>
  <c r="F10" i="1"/>
  <c r="B10" i="1"/>
  <c r="C9" i="1"/>
  <c r="D9" i="1"/>
  <c r="E9" i="1"/>
  <c r="F9" i="1"/>
  <c r="B9" i="1"/>
  <c r="C8" i="1"/>
  <c r="D8" i="1"/>
  <c r="E8" i="1"/>
  <c r="F8" i="1"/>
  <c r="B8" i="1"/>
  <c r="C5" i="1"/>
  <c r="D5" i="1"/>
  <c r="E5" i="1"/>
  <c r="F5" i="1"/>
  <c r="B5" i="1"/>
  <c r="G3" i="1"/>
  <c r="G5" i="1"/>
  <c r="G6" i="1"/>
  <c r="G8" i="1"/>
  <c r="G9" i="1"/>
  <c r="G10" i="1"/>
  <c r="G11" i="1"/>
  <c r="B24" i="4" l="1"/>
  <c r="B26" i="4" s="1"/>
  <c r="B27" i="4" s="1"/>
  <c r="F6" i="4"/>
  <c r="G4" i="4"/>
  <c r="F14" i="4"/>
  <c r="G5" i="3"/>
  <c r="G4" i="3"/>
  <c r="C6" i="3"/>
  <c r="C8" i="3" s="1"/>
  <c r="E7" i="3"/>
  <c r="G10" i="3"/>
  <c r="E5" i="3"/>
  <c r="E6" i="3" s="1"/>
  <c r="D6" i="3"/>
  <c r="D7" i="3"/>
  <c r="G7" i="3" s="1"/>
  <c r="D5" i="3"/>
  <c r="B8" i="3"/>
  <c r="B6" i="2"/>
  <c r="F6" i="2" s="1"/>
  <c r="F5" i="2"/>
  <c r="G14" i="4" l="1"/>
  <c r="F16" i="4"/>
  <c r="G6" i="4"/>
  <c r="F10" i="4"/>
  <c r="E8" i="3"/>
  <c r="G8" i="3" s="1"/>
  <c r="G6" i="3"/>
  <c r="D8" i="3"/>
  <c r="F20" i="4" l="1"/>
  <c r="G20" i="4" s="1"/>
  <c r="G16" i="4"/>
  <c r="F12" i="4"/>
  <c r="G12" i="4" s="1"/>
  <c r="G10" i="4"/>
</calcChain>
</file>

<file path=xl/sharedStrings.xml><?xml version="1.0" encoding="utf-8"?>
<sst xmlns="http://schemas.openxmlformats.org/spreadsheetml/2006/main" count="102" uniqueCount="69">
  <si>
    <t>4th Qaurter</t>
  </si>
  <si>
    <t>1st Quarter</t>
  </si>
  <si>
    <t>2nd Quarter</t>
  </si>
  <si>
    <t>3rd Quarter</t>
  </si>
  <si>
    <t>AA frame unit sales</t>
  </si>
  <si>
    <t>AA frame sales revenue</t>
  </si>
  <si>
    <t>*BB slaes price</t>
  </si>
  <si>
    <t>BB frame sales revenue</t>
  </si>
  <si>
    <t>BB frame unit sales</t>
  </si>
  <si>
    <t>Total sales revenue</t>
  </si>
  <si>
    <t>Cash Sales</t>
  </si>
  <si>
    <t>Sales on Account</t>
  </si>
  <si>
    <t>Entire Year</t>
  </si>
  <si>
    <t>Cash collection from credit sales made during current quarter</t>
  </si>
  <si>
    <t>Cash collection from credit sales made during the previous quarter</t>
  </si>
  <si>
    <t>Total Cash receipts</t>
  </si>
  <si>
    <t>AA Frames:</t>
  </si>
  <si>
    <t>Sales (in units)</t>
  </si>
  <si>
    <t>Totals units needed</t>
  </si>
  <si>
    <r>
      <t>less</t>
    </r>
    <r>
      <rPr>
        <sz val="11"/>
        <color theme="1"/>
        <rFont val="Calibri"/>
        <family val="2"/>
        <scheme val="minor"/>
      </rPr>
      <t>: Expected Beginning Inventory</t>
    </r>
  </si>
  <si>
    <t>Units to be produced</t>
  </si>
  <si>
    <t>BB frames:</t>
  </si>
  <si>
    <t>AA frames to be produced</t>
  </si>
  <si>
    <t>Needed for AA frame production</t>
  </si>
  <si>
    <t>Total metal needed for production to be purchased  (ft.)</t>
  </si>
  <si>
    <t>Cost of metal strips to be produced</t>
  </si>
  <si>
    <t>Glass sheets:</t>
  </si>
  <si>
    <t>Metal Strips</t>
  </si>
  <si>
    <t>Total glass needed for production to be purchased  (sheets)</t>
  </si>
  <si>
    <r>
      <t>Add</t>
    </r>
    <r>
      <rPr>
        <sz val="11"/>
        <color theme="1"/>
        <rFont val="Calibri"/>
        <family val="2"/>
        <scheme val="minor"/>
      </rPr>
      <t>: Desired ending inventory</t>
    </r>
  </si>
  <si>
    <t>Total glass needs</t>
  </si>
  <si>
    <r>
      <t>Less:</t>
    </r>
    <r>
      <rPr>
        <sz val="11"/>
        <color theme="1"/>
        <rFont val="Calibri"/>
        <family val="2"/>
        <scheme val="minor"/>
      </rPr>
      <t xml:space="preserve"> Expected beginning inventory</t>
    </r>
  </si>
  <si>
    <t>Glass to be purchased</t>
  </si>
  <si>
    <t>*Price per glass sheet</t>
  </si>
  <si>
    <t>Cost of glass to be purchased</t>
  </si>
  <si>
    <t>Total raw-material purchases (metal and glass)</t>
  </si>
  <si>
    <t>Column1</t>
  </si>
  <si>
    <t>Item</t>
  </si>
  <si>
    <t>4th Quarter</t>
  </si>
  <si>
    <t>Raw-material purchases:</t>
  </si>
  <si>
    <t>Cash payments for purchasing during the current quarter</t>
  </si>
  <si>
    <t>Cash payments for purchasing during the previous quarter</t>
  </si>
  <si>
    <t>Direct-labor:</t>
  </si>
  <si>
    <t>Frames produced (AA and BB)</t>
  </si>
  <si>
    <t>*Direct-labor hours per frame</t>
  </si>
  <si>
    <t>*Metal quanitity per unit (ft.)</t>
  </si>
  <si>
    <t>BB frames to be produced</t>
  </si>
  <si>
    <t>*Metal quanitity per unit  (ft.)</t>
  </si>
  <si>
    <t>*Price per foot</t>
  </si>
  <si>
    <t>*Glass quanitity per unit (sheets)</t>
  </si>
  <si>
    <t>*Glass quanitity per unit  (sheets)</t>
  </si>
  <si>
    <t>Direct-labor hours to be used</t>
  </si>
  <si>
    <t>*Rate per dircet-labor hour</t>
  </si>
  <si>
    <t>Total cash payments for raw materials purchases</t>
  </si>
  <si>
    <t>Total cash payments for direct labor</t>
  </si>
  <si>
    <t>Indirect material</t>
  </si>
  <si>
    <t>Indirect labor</t>
  </si>
  <si>
    <t>Other</t>
  </si>
  <si>
    <t>Total cash payments for manufactring overhead</t>
  </si>
  <si>
    <t>Cash payments for selling and administrative expenses</t>
  </si>
  <si>
    <t>Total cash disbursements</t>
  </si>
  <si>
    <t>Manufacturing overhead:</t>
  </si>
  <si>
    <t>*AA slaes price ($)</t>
  </si>
  <si>
    <r>
      <rPr>
        <i/>
        <sz val="11"/>
        <color theme="1"/>
        <rFont val="Calibri"/>
        <family val="2"/>
        <scheme val="minor"/>
      </rPr>
      <t>add</t>
    </r>
    <r>
      <rPr>
        <sz val="11"/>
        <color theme="1"/>
        <rFont val="Calibri"/>
        <family val="2"/>
        <scheme val="minor"/>
      </rPr>
      <t>: Desired ending inventory</t>
    </r>
  </si>
  <si>
    <t>Total units needed</t>
  </si>
  <si>
    <t>4th Quarter2</t>
  </si>
  <si>
    <t>-</t>
  </si>
  <si>
    <r>
      <t xml:space="preserve">add: </t>
    </r>
    <r>
      <rPr>
        <sz val="11"/>
        <color theme="1"/>
        <rFont val="Calibri"/>
        <family val="2"/>
        <scheme val="minor"/>
      </rPr>
      <t>Desired ending inventory</t>
    </r>
  </si>
  <si>
    <t>Needed for BB frame 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</si>
</sst>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5" formatCode="[$$-409]#,##0"/>
    <numFmt numFmtId="166" formatCode="#,##0.0"/>
    <numFmt numFmtId="173" formatCode="_-[$$-409]* #,##0_ ;_-[$$-409]* \-#,##0\ ;_-[$$-409]* &quot;-&quot;??_ ;_-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0" fillId="0" borderId="0" xfId="0" applyFont="1"/>
    <xf numFmtId="0" fontId="2" fillId="0" borderId="1" xfId="0" applyFont="1" applyBorder="1"/>
    <xf numFmtId="0" fontId="0" fillId="0" borderId="2" xfId="0" applyBorder="1"/>
    <xf numFmtId="0" fontId="0" fillId="0" borderId="5" xfId="0" applyFont="1" applyBorder="1"/>
    <xf numFmtId="0" fontId="0" fillId="0" borderId="5" xfId="0" applyBorder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Font="1" applyBorder="1" applyAlignment="1"/>
    <xf numFmtId="0" fontId="0" fillId="0" borderId="0" xfId="0" applyFont="1" applyFill="1" applyBorder="1"/>
    <xf numFmtId="3" fontId="0" fillId="0" borderId="0" xfId="0" applyNumberFormat="1"/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3" fontId="0" fillId="0" borderId="2" xfId="0" applyNumberFormat="1" applyBorder="1"/>
    <xf numFmtId="165" fontId="0" fillId="0" borderId="0" xfId="0" applyNumberFormat="1"/>
    <xf numFmtId="0" fontId="0" fillId="0" borderId="11" xfId="0" applyBorder="1"/>
    <xf numFmtId="3" fontId="2" fillId="0" borderId="1" xfId="0" applyNumberFormat="1" applyFont="1" applyBorder="1"/>
    <xf numFmtId="3" fontId="2" fillId="0" borderId="0" xfId="0" applyNumberFormat="1" applyFont="1"/>
    <xf numFmtId="3" fontId="2" fillId="0" borderId="10" xfId="0" applyNumberFormat="1" applyFont="1" applyBorder="1"/>
    <xf numFmtId="165" fontId="0" fillId="0" borderId="0" xfId="0" applyNumberFormat="1" applyBorder="1"/>
    <xf numFmtId="3" fontId="2" fillId="0" borderId="6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73" fontId="2" fillId="0" borderId="8" xfId="1" applyNumberFormat="1" applyFont="1" applyBorder="1"/>
    <xf numFmtId="173" fontId="0" fillId="0" borderId="0" xfId="0" applyNumberFormat="1"/>
    <xf numFmtId="0" fontId="2" fillId="0" borderId="0" xfId="0" applyFont="1" applyBorder="1"/>
    <xf numFmtId="173" fontId="0" fillId="0" borderId="11" xfId="0" applyNumberFormat="1" applyBorder="1"/>
    <xf numFmtId="165" fontId="0" fillId="0" borderId="12" xfId="0" applyNumberFormat="1" applyBorder="1"/>
    <xf numFmtId="165" fontId="2" fillId="0" borderId="12" xfId="0" applyNumberFormat="1" applyFont="1" applyBorder="1"/>
    <xf numFmtId="173" fontId="2" fillId="0" borderId="12" xfId="0" applyNumberFormat="1" applyFont="1" applyBorder="1"/>
    <xf numFmtId="173" fontId="2" fillId="0" borderId="1" xfId="0" applyNumberFormat="1" applyFont="1" applyBorder="1"/>
    <xf numFmtId="0" fontId="2" fillId="0" borderId="0" xfId="0" applyFont="1" applyBorder="1" applyAlignment="1">
      <alignment horizontal="center"/>
    </xf>
    <xf numFmtId="3" fontId="0" fillId="0" borderId="0" xfId="0" applyNumberFormat="1" applyBorder="1"/>
    <xf numFmtId="0" fontId="0" fillId="0" borderId="0" xfId="0" applyBorder="1" applyAlignment="1">
      <alignment horizontal="left" indent="2"/>
    </xf>
    <xf numFmtId="3" fontId="2" fillId="0" borderId="0" xfId="0" applyNumberFormat="1" applyFont="1" applyBorder="1"/>
    <xf numFmtId="165" fontId="2" fillId="0" borderId="0" xfId="0" applyNumberFormat="1" applyFont="1" applyBorder="1"/>
    <xf numFmtId="4" fontId="0" fillId="0" borderId="0" xfId="0" applyNumberFormat="1" applyBorder="1"/>
    <xf numFmtId="166" fontId="0" fillId="0" borderId="0" xfId="0" applyNumberFormat="1" applyBorder="1"/>
    <xf numFmtId="0" fontId="3" fillId="0" borderId="0" xfId="0" applyFont="1" applyBorder="1" applyAlignment="1">
      <alignment horizontal="left" indent="2"/>
    </xf>
    <xf numFmtId="0" fontId="0" fillId="0" borderId="0" xfId="0" applyFill="1" applyBorder="1" applyAlignment="1">
      <alignment horizontal="left" indent="2"/>
    </xf>
    <xf numFmtId="0" fontId="0" fillId="0" borderId="0" xfId="0" applyFont="1" applyFill="1" applyBorder="1" applyAlignment="1">
      <alignment horizontal="left" indent="2"/>
    </xf>
    <xf numFmtId="173" fontId="0" fillId="0" borderId="0" xfId="1" applyNumberFormat="1" applyFont="1" applyBorder="1"/>
    <xf numFmtId="173" fontId="2" fillId="0" borderId="0" xfId="1" applyNumberFormat="1" applyFont="1" applyBorder="1"/>
    <xf numFmtId="173" fontId="0" fillId="0" borderId="9" xfId="1" applyNumberFormat="1" applyFont="1" applyBorder="1"/>
    <xf numFmtId="173" fontId="2" fillId="0" borderId="12" xfId="1" applyNumberFormat="1" applyFont="1" applyBorder="1"/>
    <xf numFmtId="3" fontId="2" fillId="0" borderId="12" xfId="0" applyNumberFormat="1" applyFont="1" applyBorder="1"/>
    <xf numFmtId="3" fontId="0" fillId="0" borderId="11" xfId="0" applyNumberFormat="1" applyBorder="1"/>
    <xf numFmtId="166" fontId="0" fillId="0" borderId="11" xfId="0" applyNumberFormat="1" applyBorder="1"/>
    <xf numFmtId="4" fontId="0" fillId="0" borderId="11" xfId="0" applyNumberFormat="1" applyBorder="1"/>
    <xf numFmtId="165" fontId="0" fillId="0" borderId="11" xfId="0" applyNumberFormat="1" applyBorder="1"/>
    <xf numFmtId="173" fontId="0" fillId="0" borderId="0" xfId="0" applyNumberFormat="1" applyFont="1" applyBorder="1"/>
    <xf numFmtId="173" fontId="0" fillId="0" borderId="10" xfId="0" applyNumberFormat="1" applyFont="1" applyBorder="1"/>
    <xf numFmtId="173" fontId="0" fillId="0" borderId="0" xfId="0" applyNumberFormat="1" applyFont="1"/>
    <xf numFmtId="3" fontId="2" fillId="0" borderId="7" xfId="0" applyNumberFormat="1" applyFont="1" applyBorder="1"/>
    <xf numFmtId="3" fontId="0" fillId="0" borderId="0" xfId="0" applyNumberFormat="1" applyBorder="1" applyAlignment="1">
      <alignment horizontal="right"/>
    </xf>
    <xf numFmtId="165" fontId="0" fillId="0" borderId="0" xfId="0" applyNumberFormat="1" applyFont="1" applyBorder="1"/>
    <xf numFmtId="0" fontId="2" fillId="0" borderId="7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left" indent="2"/>
    </xf>
    <xf numFmtId="165" fontId="0" fillId="0" borderId="0" xfId="0" applyNumberFormat="1" applyBorder="1" applyAlignment="1">
      <alignment horizontal="right"/>
    </xf>
  </cellXfs>
  <cellStyles count="2">
    <cellStyle name="Comma" xfId="1" builtinId="3"/>
    <cellStyle name="Normal" xfId="0" builtinId="0"/>
  </cellStyles>
  <dxfs count="27"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0" formatCode="General"/>
    </dxf>
    <dxf>
      <numFmt numFmtId="165" formatCode="[$$-409]#,##0"/>
    </dxf>
    <dxf>
      <numFmt numFmtId="165" formatCode="[$$-409]#,##0"/>
    </dxf>
    <dxf>
      <numFmt numFmtId="165" formatCode="[$$-409]#,##0"/>
    </dxf>
    <dxf>
      <numFmt numFmtId="165" formatCode="[$$-409]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73" formatCode="_-[$$-409]* #,##0_ ;_-[$$-409]* \-#,##0\ ;_-[$$-409]* &quot;-&quot;??_ ;_-@_ "/>
    </dxf>
    <dxf>
      <numFmt numFmtId="173" formatCode="_-[$$-409]* #,##0_ ;_-[$$-409]* \-#,##0\ ;_-[$$-409]* &quot;-&quot;??_ ;_-@_ "/>
    </dxf>
    <dxf>
      <alignment horizontal="left" vertical="bottom" textRotation="0" wrapText="0" indent="2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bottom style="double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6" name="Table6" displayName="Table6" ref="A2:G14" totalsRowShown="0" headerRowDxfId="23">
  <autoFilter ref="A2:G14"/>
  <tableColumns count="7">
    <tableColumn id="1" name="Item" dataDxfId="1"/>
    <tableColumn id="2" name="4th Quarter"/>
    <tableColumn id="3" name="1st Quarter"/>
    <tableColumn id="4" name="2nd Quarter"/>
    <tableColumn id="5" name="3rd Quarter"/>
    <tableColumn id="6" name="4th Quarter2"/>
    <tableColumn id="7" name="Entire Year" dataDxfId="0">
      <calculatedColumnFormula>SUM(Table6[[#This Row],[1st Quarter]:[4th Quarter2]])</calculatedColumnFormula>
    </tableColumn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A2:F7" totalsRowShown="0">
  <autoFilter ref="A2:F7"/>
  <tableColumns count="6">
    <tableColumn id="1" name="Item"/>
    <tableColumn id="2" name="1st Quarter" dataDxfId="6"/>
    <tableColumn id="3" name="2nd Quarter" dataDxfId="5"/>
    <tableColumn id="4" name="3rd Quarter" dataDxfId="4"/>
    <tableColumn id="5" name="4th Quarter" dataDxfId="3"/>
    <tableColumn id="6" name="Entire Year" dataDxfId="2">
      <calculatedColumnFormula>SUM(Table5[[#This Row],[1st Quarter]:[4th Quarter]])</calculatedColumnFormula>
    </tableColumn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:G16" totalsRowShown="0" headerRowDxfId="24">
  <autoFilter ref="A2:G16"/>
  <tableColumns count="7">
    <tableColumn id="1" name="Item"/>
    <tableColumn id="2" name="4th Quarter" dataDxfId="12">
      <calculatedColumnFormula>'Sales Budget'!B2</calculatedColumnFormula>
    </tableColumn>
    <tableColumn id="3" name="1st Quarter" dataDxfId="11"/>
    <tableColumn id="4" name="2nd Quarter" dataDxfId="10"/>
    <tableColumn id="5" name="3rd Quarter" dataDxfId="9"/>
    <tableColumn id="6" name="4th Quarter2" dataDxfId="8"/>
    <tableColumn id="7" name="Entire Year" dataDxfId="7">
      <calculatedColumnFormula>SUM(Table3[[#This Row],[1st Quarter]:[4th Quarter2]])</calculatedColumnFormula>
    </tableColumn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2" name="Table2" displayName="Table2" ref="A2:G29" totalsRowShown="0" headerRowDxfId="25" headerRowBorderDxfId="26">
  <autoFilter ref="A2:G29"/>
  <tableColumns count="7">
    <tableColumn id="1" name="Item"/>
    <tableColumn id="2" name="4th Qaurter" dataDxfId="22"/>
    <tableColumn id="3" name="1st Quarter" dataDxfId="21"/>
    <tableColumn id="4" name="2nd Quarter" dataDxfId="20"/>
    <tableColumn id="5" name="3rd Quarter" dataDxfId="19"/>
    <tableColumn id="6" name="4th Quarter" dataDxfId="18"/>
    <tableColumn id="7" name="Entire Year" dataDxfId="17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7" name="Table7" displayName="Table7" ref="A2:F19" totalsRowShown="0" headerRowDxfId="13">
  <autoFilter ref="A2:F19"/>
  <tableColumns count="6">
    <tableColumn id="1" name="Column1" dataDxfId="16"/>
    <tableColumn id="2" name="1st Quarter" dataDxfId="15"/>
    <tableColumn id="3" name="2nd Quarter"/>
    <tableColumn id="4" name="3rd Quarter"/>
    <tableColumn id="5" name="4th Quarter" dataDxfId="14"/>
    <tableColumn id="6" name="Entire Year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E13" sqref="E13"/>
    </sheetView>
  </sheetViews>
  <sheetFormatPr defaultRowHeight="15" x14ac:dyDescent="0.25"/>
  <cols>
    <col min="1" max="1" width="22.42578125" style="2" bestFit="1" customWidth="1"/>
    <col min="2" max="2" width="13.28515625" customWidth="1"/>
    <col min="3" max="3" width="13" customWidth="1"/>
    <col min="4" max="4" width="13.7109375" customWidth="1"/>
    <col min="5" max="6" width="13.28515625" customWidth="1"/>
    <col min="7" max="7" width="12.85546875" customWidth="1"/>
  </cols>
  <sheetData>
    <row r="1" spans="1:7" s="1" customFormat="1" ht="15.75" thickBot="1" x14ac:dyDescent="0.3">
      <c r="A1" s="5"/>
      <c r="B1" s="10">
        <v>2007</v>
      </c>
      <c r="C1" s="11">
        <v>2008</v>
      </c>
      <c r="D1" s="11"/>
      <c r="E1" s="11"/>
      <c r="F1" s="11"/>
      <c r="G1" s="3"/>
    </row>
    <row r="2" spans="1:7" s="1" customFormat="1" ht="15.75" thickTop="1" x14ac:dyDescent="0.25">
      <c r="A2" s="12" t="s">
        <v>37</v>
      </c>
      <c r="B2" s="60" t="s">
        <v>38</v>
      </c>
      <c r="C2" s="1" t="s">
        <v>1</v>
      </c>
      <c r="D2" s="29" t="s">
        <v>2</v>
      </c>
      <c r="E2" s="1" t="s">
        <v>3</v>
      </c>
      <c r="F2" s="1" t="s">
        <v>65</v>
      </c>
      <c r="G2" s="29" t="s">
        <v>12</v>
      </c>
    </row>
    <row r="3" spans="1:7" x14ac:dyDescent="0.25">
      <c r="A3" s="61" t="s">
        <v>4</v>
      </c>
      <c r="B3" s="36">
        <v>50000</v>
      </c>
      <c r="C3" s="36">
        <v>57500</v>
      </c>
      <c r="D3" s="36">
        <v>66125</v>
      </c>
      <c r="E3" s="36">
        <v>76044</v>
      </c>
      <c r="F3" s="36">
        <v>87451</v>
      </c>
      <c r="G3" s="36">
        <f>SUM(Table6[[#This Row],[1st Quarter]:[4th Quarter2]])</f>
        <v>287120</v>
      </c>
    </row>
    <row r="4" spans="1:7" x14ac:dyDescent="0.25">
      <c r="A4" s="62" t="s">
        <v>62</v>
      </c>
      <c r="B4" s="63">
        <v>12</v>
      </c>
      <c r="C4" s="63">
        <v>12</v>
      </c>
      <c r="D4" s="63">
        <v>12</v>
      </c>
      <c r="E4" s="63">
        <v>12</v>
      </c>
      <c r="F4" s="63">
        <v>12</v>
      </c>
      <c r="G4" s="63">
        <v>12</v>
      </c>
    </row>
    <row r="5" spans="1:7" ht="15.75" thickBot="1" x14ac:dyDescent="0.3">
      <c r="A5" s="61" t="s">
        <v>5</v>
      </c>
      <c r="B5" s="31">
        <f>B3*B4</f>
        <v>600000</v>
      </c>
      <c r="C5" s="31">
        <f t="shared" ref="C5:F5" si="0">C3*C4</f>
        <v>690000</v>
      </c>
      <c r="D5" s="31">
        <f t="shared" si="0"/>
        <v>793500</v>
      </c>
      <c r="E5" s="31">
        <f t="shared" si="0"/>
        <v>912528</v>
      </c>
      <c r="F5" s="31">
        <f t="shared" si="0"/>
        <v>1049412</v>
      </c>
      <c r="G5" s="32">
        <f>SUM(Table6[[#This Row],[1st Quarter]:[4th Quarter2]])</f>
        <v>3445440</v>
      </c>
    </row>
    <row r="6" spans="1:7" ht="15.75" thickTop="1" x14ac:dyDescent="0.25">
      <c r="A6" s="61" t="s">
        <v>8</v>
      </c>
      <c r="B6" s="36">
        <v>40000</v>
      </c>
      <c r="C6" s="36">
        <v>46000</v>
      </c>
      <c r="D6" s="36">
        <v>52900</v>
      </c>
      <c r="E6" s="36">
        <v>60835</v>
      </c>
      <c r="F6" s="36">
        <v>69961</v>
      </c>
      <c r="G6" s="36">
        <f>SUM(Table6[[#This Row],[1st Quarter]:[4th Quarter2]])</f>
        <v>229696</v>
      </c>
    </row>
    <row r="7" spans="1:7" x14ac:dyDescent="0.25">
      <c r="A7" s="62" t="s">
        <v>6</v>
      </c>
      <c r="B7" s="23">
        <v>20</v>
      </c>
      <c r="C7" s="23">
        <v>20</v>
      </c>
      <c r="D7" s="23">
        <v>20</v>
      </c>
      <c r="E7" s="23">
        <v>20</v>
      </c>
      <c r="F7" s="23">
        <v>20</v>
      </c>
      <c r="G7" s="23">
        <v>20</v>
      </c>
    </row>
    <row r="8" spans="1:7" ht="15.75" thickBot="1" x14ac:dyDescent="0.3">
      <c r="A8" s="61" t="s">
        <v>7</v>
      </c>
      <c r="B8" s="31">
        <f>B6*B7</f>
        <v>800000</v>
      </c>
      <c r="C8" s="31">
        <f t="shared" ref="C8:F8" si="1">C6*C7</f>
        <v>920000</v>
      </c>
      <c r="D8" s="31">
        <f t="shared" si="1"/>
        <v>1058000</v>
      </c>
      <c r="E8" s="31">
        <f t="shared" si="1"/>
        <v>1216700</v>
      </c>
      <c r="F8" s="31">
        <f t="shared" si="1"/>
        <v>1399220</v>
      </c>
      <c r="G8" s="49">
        <f>SUM(Table6[[#This Row],[1st Quarter]:[4th Quarter2]])</f>
        <v>4593920</v>
      </c>
    </row>
    <row r="9" spans="1:7" ht="15.75" thickTop="1" x14ac:dyDescent="0.25">
      <c r="A9" s="61" t="s">
        <v>9</v>
      </c>
      <c r="B9" s="23">
        <f>B5+B8</f>
        <v>1400000</v>
      </c>
      <c r="C9" s="23">
        <f t="shared" ref="C9:F9" si="2">C5+C8</f>
        <v>1610000</v>
      </c>
      <c r="D9" s="23">
        <f t="shared" si="2"/>
        <v>1851500</v>
      </c>
      <c r="E9" s="23">
        <f t="shared" si="2"/>
        <v>2129228</v>
      </c>
      <c r="F9" s="23">
        <f t="shared" si="2"/>
        <v>2448632</v>
      </c>
      <c r="G9" s="38">
        <f>SUM(Table6[[#This Row],[1st Quarter]:[4th Quarter2]])</f>
        <v>8039360</v>
      </c>
    </row>
    <row r="10" spans="1:7" x14ac:dyDescent="0.25">
      <c r="A10" s="61" t="s">
        <v>10</v>
      </c>
      <c r="B10" s="23">
        <f>B9*40%</f>
        <v>560000</v>
      </c>
      <c r="C10" s="23">
        <f t="shared" ref="C10:F10" si="3">C9*40%</f>
        <v>644000</v>
      </c>
      <c r="D10" s="23">
        <f t="shared" si="3"/>
        <v>740600</v>
      </c>
      <c r="E10" s="23">
        <f t="shared" si="3"/>
        <v>851691.20000000007</v>
      </c>
      <c r="F10" s="23">
        <f t="shared" si="3"/>
        <v>979452.8</v>
      </c>
      <c r="G10" s="38">
        <f>SUM(Table6[[#This Row],[1st Quarter]:[4th Quarter2]])</f>
        <v>3215744</v>
      </c>
    </row>
    <row r="11" spans="1:7" x14ac:dyDescent="0.25">
      <c r="A11" s="61" t="s">
        <v>11</v>
      </c>
      <c r="B11" s="23">
        <f>B9-B10</f>
        <v>840000</v>
      </c>
      <c r="C11" s="23">
        <f t="shared" ref="C11:F11" si="4">C9-C10</f>
        <v>966000</v>
      </c>
      <c r="D11" s="23">
        <f t="shared" si="4"/>
        <v>1110900</v>
      </c>
      <c r="E11" s="23">
        <f t="shared" si="4"/>
        <v>1277536.7999999998</v>
      </c>
      <c r="F11" s="23">
        <f t="shared" si="4"/>
        <v>1469179.2</v>
      </c>
      <c r="G11" s="38">
        <f>SUM(Table6[[#This Row],[1st Quarter]:[4th Quarter2]])</f>
        <v>4823616</v>
      </c>
    </row>
    <row r="12" spans="1:7" x14ac:dyDescent="0.25">
      <c r="A12" s="61"/>
      <c r="B12" s="9"/>
      <c r="C12" s="9"/>
      <c r="D12" s="9"/>
      <c r="E12" s="9"/>
      <c r="F12" s="9"/>
      <c r="G12" s="36"/>
    </row>
    <row r="13" spans="1:7" x14ac:dyDescent="0.25">
      <c r="A13" s="61"/>
      <c r="B13" s="9"/>
      <c r="C13" s="9"/>
      <c r="D13" s="9"/>
      <c r="E13" s="9"/>
      <c r="F13" s="9"/>
      <c r="G13" s="36"/>
    </row>
    <row r="14" spans="1:7" x14ac:dyDescent="0.25">
      <c r="A14" s="61"/>
      <c r="B14" s="9"/>
      <c r="C14" s="9"/>
      <c r="D14" s="9"/>
      <c r="E14" s="9"/>
      <c r="F14" s="9"/>
      <c r="G14" s="36"/>
    </row>
  </sheetData>
  <mergeCells count="1">
    <mergeCell ref="C1:F1"/>
  </mergeCells>
  <pageMargins left="0.7" right="0.7" top="0.75" bottom="0.75" header="0.3" footer="0.3"/>
  <pageSetup paperSize="9" orientation="portrait" r:id="rId1"/>
  <ignoredErrors>
    <ignoredError sqref="G4 G7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F7" sqref="F7"/>
    </sheetView>
  </sheetViews>
  <sheetFormatPr defaultRowHeight="15" x14ac:dyDescent="0.25"/>
  <cols>
    <col min="1" max="1" width="61.28515625" bestFit="1" customWidth="1"/>
    <col min="2" max="2" width="13" customWidth="1"/>
    <col min="3" max="3" width="13.7109375" customWidth="1"/>
    <col min="4" max="5" width="13.28515625" customWidth="1"/>
    <col min="6" max="6" width="12.85546875" customWidth="1"/>
  </cols>
  <sheetData>
    <row r="1" spans="1:7" x14ac:dyDescent="0.25">
      <c r="B1" s="7">
        <v>2008</v>
      </c>
      <c r="C1" s="8"/>
      <c r="D1" s="8"/>
      <c r="E1" s="8"/>
      <c r="F1" s="29"/>
    </row>
    <row r="2" spans="1:7" x14ac:dyDescent="0.25">
      <c r="A2" s="9" t="s">
        <v>37</v>
      </c>
      <c r="B2" s="29" t="s">
        <v>1</v>
      </c>
      <c r="C2" s="29" t="s">
        <v>2</v>
      </c>
      <c r="D2" s="29" t="s">
        <v>3</v>
      </c>
      <c r="E2" s="29" t="s">
        <v>38</v>
      </c>
      <c r="F2" s="29" t="s">
        <v>12</v>
      </c>
      <c r="G2" s="9"/>
    </row>
    <row r="3" spans="1:7" x14ac:dyDescent="0.25">
      <c r="A3" s="9" t="s">
        <v>10</v>
      </c>
      <c r="B3" s="23">
        <v>644000</v>
      </c>
      <c r="C3" s="23">
        <v>740600</v>
      </c>
      <c r="D3" s="23">
        <v>851691</v>
      </c>
      <c r="E3" s="23">
        <v>979453</v>
      </c>
      <c r="F3" s="59">
        <f>SUM(Table5[[#This Row],[1st Quarter]:[4th Quarter]])</f>
        <v>3215744</v>
      </c>
      <c r="G3" s="9"/>
    </row>
    <row r="4" spans="1:7" x14ac:dyDescent="0.25">
      <c r="A4" s="9" t="s">
        <v>13</v>
      </c>
      <c r="B4" s="23">
        <f>'Sales Budget'!C11*80%</f>
        <v>772800</v>
      </c>
      <c r="C4" s="23">
        <f>'Sales Budget'!D11*80%</f>
        <v>888720</v>
      </c>
      <c r="D4" s="23">
        <f>'Sales Budget'!E11*80%</f>
        <v>1022029.44</v>
      </c>
      <c r="E4" s="23">
        <f>'Sales Budget'!F11*80%</f>
        <v>1175343.3600000001</v>
      </c>
      <c r="F4" s="59">
        <f>SUM(Table5[[#This Row],[1st Quarter]:[4th Quarter]])</f>
        <v>3858892.7999999998</v>
      </c>
      <c r="G4" s="9"/>
    </row>
    <row r="5" spans="1:7" x14ac:dyDescent="0.25">
      <c r="A5" s="9" t="s">
        <v>14</v>
      </c>
      <c r="B5" s="23">
        <f>'Sales Budget'!B11*20%</f>
        <v>168000</v>
      </c>
      <c r="C5" s="23">
        <f>'Sales Budget'!C11*20%</f>
        <v>193200</v>
      </c>
      <c r="D5" s="23">
        <f>'Sales Budget'!D11*20%</f>
        <v>222180</v>
      </c>
      <c r="E5" s="23">
        <f>'Sales Budget'!E11*20%</f>
        <v>255507.36</v>
      </c>
      <c r="F5" s="59">
        <f>SUM(Table5[[#This Row],[1st Quarter]:[4th Quarter]])</f>
        <v>838887.36</v>
      </c>
      <c r="G5" s="9"/>
    </row>
    <row r="6" spans="1:7" ht="15.75" thickBot="1" x14ac:dyDescent="0.3">
      <c r="A6" s="9" t="s">
        <v>15</v>
      </c>
      <c r="B6" s="32">
        <f>SUM(B3:B5)</f>
        <v>1584800</v>
      </c>
      <c r="C6" s="32">
        <f t="shared" ref="C6:E6" si="0">SUM(C3:C5)</f>
        <v>1822520</v>
      </c>
      <c r="D6" s="32">
        <f t="shared" si="0"/>
        <v>2095900.44</v>
      </c>
      <c r="E6" s="32">
        <f t="shared" si="0"/>
        <v>2410303.7200000002</v>
      </c>
      <c r="F6" s="32">
        <f>SUM(Table5[[#This Row],[1st Quarter]:[4th Quarter]])</f>
        <v>7913524.1600000001</v>
      </c>
      <c r="G6" s="9"/>
    </row>
    <row r="7" spans="1:7" ht="15.75" thickTop="1" x14ac:dyDescent="0.25">
      <c r="A7" s="9"/>
      <c r="B7" s="9"/>
      <c r="C7" s="9"/>
      <c r="D7" s="9"/>
      <c r="E7" s="9"/>
      <c r="F7" s="9"/>
      <c r="G7" s="9"/>
    </row>
  </sheetData>
  <mergeCells count="1">
    <mergeCell ref="B1:E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B9" sqref="B9"/>
    </sheetView>
  </sheetViews>
  <sheetFormatPr defaultRowHeight="15" x14ac:dyDescent="0.25"/>
  <cols>
    <col min="1" max="1" width="34.28515625" bestFit="1" customWidth="1"/>
    <col min="2" max="2" width="13.28515625" style="14" customWidth="1"/>
    <col min="3" max="3" width="13" style="14" customWidth="1"/>
    <col min="4" max="4" width="13.7109375" style="14" customWidth="1"/>
    <col min="5" max="6" width="13.28515625" style="14" customWidth="1"/>
    <col min="7" max="7" width="12.85546875" style="14" customWidth="1"/>
  </cols>
  <sheetData>
    <row r="1" spans="1:7" ht="15.75" thickBot="1" x14ac:dyDescent="0.3">
      <c r="A1" s="6"/>
      <c r="B1" s="24">
        <v>2007</v>
      </c>
      <c r="C1" s="25">
        <v>2008</v>
      </c>
      <c r="D1" s="26"/>
      <c r="E1" s="26"/>
      <c r="F1" s="26"/>
      <c r="G1" s="20"/>
    </row>
    <row r="2" spans="1:7" ht="15.75" thickTop="1" x14ac:dyDescent="0.25">
      <c r="A2" s="6" t="s">
        <v>37</v>
      </c>
      <c r="B2" s="57" t="s">
        <v>38</v>
      </c>
      <c r="C2" s="21" t="s">
        <v>1</v>
      </c>
      <c r="D2" s="38" t="s">
        <v>2</v>
      </c>
      <c r="E2" s="38" t="s">
        <v>3</v>
      </c>
      <c r="F2" s="21" t="s">
        <v>65</v>
      </c>
      <c r="G2" s="38" t="s">
        <v>12</v>
      </c>
    </row>
    <row r="3" spans="1:7" x14ac:dyDescent="0.25">
      <c r="A3" s="9" t="s">
        <v>16</v>
      </c>
      <c r="B3" s="36"/>
      <c r="C3" s="36"/>
      <c r="D3" s="36"/>
      <c r="E3" s="36"/>
      <c r="F3" s="36"/>
      <c r="G3" s="36"/>
    </row>
    <row r="4" spans="1:7" x14ac:dyDescent="0.25">
      <c r="A4" s="37" t="s">
        <v>17</v>
      </c>
      <c r="B4" s="36">
        <f>'Sales Budget'!B3</f>
        <v>50000</v>
      </c>
      <c r="C4" s="36">
        <f>'Sales Budget'!C3</f>
        <v>57500</v>
      </c>
      <c r="D4" s="36">
        <f>'Sales Budget'!D3</f>
        <v>66125</v>
      </c>
      <c r="E4" s="36">
        <f>'Sales Budget'!E3</f>
        <v>76044</v>
      </c>
      <c r="F4" s="36">
        <f>'Sales Budget'!F3</f>
        <v>87451</v>
      </c>
      <c r="G4" s="36">
        <f>SUM(Table3[[#This Row],[1st Quarter]:[4th Quarter2]])</f>
        <v>287120</v>
      </c>
    </row>
    <row r="5" spans="1:7" x14ac:dyDescent="0.25">
      <c r="A5" s="37" t="s">
        <v>63</v>
      </c>
      <c r="B5" s="36">
        <f>C4*20%</f>
        <v>11500</v>
      </c>
      <c r="C5" s="36">
        <f t="shared" ref="C5:E5" si="0">D4*20%</f>
        <v>13225</v>
      </c>
      <c r="D5" s="36">
        <f t="shared" si="0"/>
        <v>15208.800000000001</v>
      </c>
      <c r="E5" s="36">
        <f t="shared" si="0"/>
        <v>17490.2</v>
      </c>
      <c r="F5" s="58" t="s">
        <v>66</v>
      </c>
      <c r="G5" s="36">
        <f>SUM(Table3[[#This Row],[1st Quarter]:[4th Quarter2]])</f>
        <v>45924</v>
      </c>
    </row>
    <row r="6" spans="1:7" x14ac:dyDescent="0.25">
      <c r="A6" s="37" t="s">
        <v>64</v>
      </c>
      <c r="B6" s="36">
        <f>SUM(B4:B5)</f>
        <v>61500</v>
      </c>
      <c r="C6" s="36">
        <f t="shared" ref="C6:F6" si="1">SUM(C4:C5)</f>
        <v>70725</v>
      </c>
      <c r="D6" s="36">
        <f t="shared" si="1"/>
        <v>81333.8</v>
      </c>
      <c r="E6" s="36">
        <f t="shared" si="1"/>
        <v>93534.2</v>
      </c>
      <c r="F6" s="36">
        <f t="shared" si="1"/>
        <v>87451</v>
      </c>
      <c r="G6" s="36">
        <f>SUM(Table3[[#This Row],[1st Quarter]:[4th Quarter2]])</f>
        <v>333044</v>
      </c>
    </row>
    <row r="7" spans="1:7" x14ac:dyDescent="0.25">
      <c r="A7" s="42" t="s">
        <v>19</v>
      </c>
      <c r="B7" s="36">
        <f>B4*20%</f>
        <v>10000</v>
      </c>
      <c r="C7" s="36">
        <f t="shared" ref="C7:F7" si="2">C4*20%</f>
        <v>11500</v>
      </c>
      <c r="D7" s="36">
        <f t="shared" si="2"/>
        <v>13225</v>
      </c>
      <c r="E7" s="36">
        <f t="shared" si="2"/>
        <v>15208.800000000001</v>
      </c>
      <c r="F7" s="36">
        <f t="shared" si="2"/>
        <v>17490.2</v>
      </c>
      <c r="G7" s="36">
        <f>SUM(Table3[[#This Row],[1st Quarter]:[4th Quarter2]])</f>
        <v>57424</v>
      </c>
    </row>
    <row r="8" spans="1:7" ht="15.75" thickBot="1" x14ac:dyDescent="0.3">
      <c r="A8" s="37" t="s">
        <v>20</v>
      </c>
      <c r="B8" s="49">
        <f>B6-B7</f>
        <v>51500</v>
      </c>
      <c r="C8" s="49">
        <f t="shared" ref="C8:E8" si="3">C6-C7</f>
        <v>59225</v>
      </c>
      <c r="D8" s="49">
        <f t="shared" si="3"/>
        <v>68108.800000000003</v>
      </c>
      <c r="E8" s="49">
        <f t="shared" si="3"/>
        <v>78325.399999999994</v>
      </c>
      <c r="F8" s="49">
        <f>F6-F7</f>
        <v>69960.800000000003</v>
      </c>
      <c r="G8" s="49">
        <f>SUM(Table3[[#This Row],[1st Quarter]:[4th Quarter2]])</f>
        <v>275620</v>
      </c>
    </row>
    <row r="9" spans="1:7" ht="15.75" thickTop="1" x14ac:dyDescent="0.25">
      <c r="A9" s="9" t="s">
        <v>21</v>
      </c>
      <c r="B9" s="36"/>
      <c r="C9" s="36"/>
      <c r="D9" s="36"/>
      <c r="E9" s="36"/>
      <c r="F9" s="36"/>
      <c r="G9" s="36"/>
    </row>
    <row r="10" spans="1:7" x14ac:dyDescent="0.25">
      <c r="A10" s="37" t="s">
        <v>17</v>
      </c>
      <c r="B10" s="36">
        <f>'Sales Budget'!B6</f>
        <v>40000</v>
      </c>
      <c r="C10" s="36">
        <f>'Sales Budget'!C6</f>
        <v>46000</v>
      </c>
      <c r="D10" s="36">
        <f>'Sales Budget'!D6</f>
        <v>52900</v>
      </c>
      <c r="E10" s="36">
        <f>'Sales Budget'!E6</f>
        <v>60835</v>
      </c>
      <c r="F10" s="36">
        <f>'Sales Budget'!F6</f>
        <v>69961</v>
      </c>
      <c r="G10" s="36">
        <f>SUM(Table3[[#This Row],[1st Quarter]:[4th Quarter2]])</f>
        <v>229696</v>
      </c>
    </row>
    <row r="11" spans="1:7" x14ac:dyDescent="0.25">
      <c r="A11" s="42" t="s">
        <v>67</v>
      </c>
      <c r="B11" s="36">
        <f>C10*20%</f>
        <v>9200</v>
      </c>
      <c r="C11" s="36">
        <f t="shared" ref="C11:E11" si="4">D10*20%</f>
        <v>10580</v>
      </c>
      <c r="D11" s="36">
        <f t="shared" si="4"/>
        <v>12167</v>
      </c>
      <c r="E11" s="36">
        <f t="shared" si="4"/>
        <v>13992.2</v>
      </c>
      <c r="F11" s="58" t="s">
        <v>66</v>
      </c>
      <c r="G11" s="36">
        <f>SUM(Table3[[#This Row],[1st Quarter]:[4th Quarter2]])</f>
        <v>36739.199999999997</v>
      </c>
    </row>
    <row r="12" spans="1:7" x14ac:dyDescent="0.25">
      <c r="A12" s="37" t="s">
        <v>18</v>
      </c>
      <c r="B12" s="36">
        <f>SUM(B10:B11)</f>
        <v>49200</v>
      </c>
      <c r="C12" s="36">
        <f t="shared" ref="C12:E12" si="5">SUM(C10:C11)</f>
        <v>56580</v>
      </c>
      <c r="D12" s="36">
        <f t="shared" si="5"/>
        <v>65067</v>
      </c>
      <c r="E12" s="36">
        <f t="shared" si="5"/>
        <v>74827.199999999997</v>
      </c>
      <c r="F12" s="36">
        <f>SUM(F10:F11)</f>
        <v>69961</v>
      </c>
      <c r="G12" s="36">
        <f>SUM(Table3[[#This Row],[1st Quarter]:[4th Quarter2]])</f>
        <v>266435.20000000001</v>
      </c>
    </row>
    <row r="13" spans="1:7" x14ac:dyDescent="0.25">
      <c r="A13" s="42" t="s">
        <v>19</v>
      </c>
      <c r="B13" s="36">
        <f>B10*20%</f>
        <v>8000</v>
      </c>
      <c r="C13" s="36">
        <f t="shared" ref="C13:F13" si="6">C10*20%</f>
        <v>9200</v>
      </c>
      <c r="D13" s="36">
        <f t="shared" si="6"/>
        <v>10580</v>
      </c>
      <c r="E13" s="36">
        <f t="shared" si="6"/>
        <v>12167</v>
      </c>
      <c r="F13" s="36">
        <f t="shared" si="6"/>
        <v>13992.2</v>
      </c>
      <c r="G13" s="36">
        <f>SUM(Table3[[#This Row],[1st Quarter]:[4th Quarter2]])</f>
        <v>45939.199999999997</v>
      </c>
    </row>
    <row r="14" spans="1:7" ht="15.75" thickBot="1" x14ac:dyDescent="0.3">
      <c r="A14" s="37" t="s">
        <v>20</v>
      </c>
      <c r="B14" s="49">
        <f>B12-B13</f>
        <v>41200</v>
      </c>
      <c r="C14" s="49">
        <f t="shared" ref="C14:F14" si="7">C12-C13</f>
        <v>47380</v>
      </c>
      <c r="D14" s="49">
        <f t="shared" si="7"/>
        <v>54487</v>
      </c>
      <c r="E14" s="49">
        <f t="shared" si="7"/>
        <v>62660.2</v>
      </c>
      <c r="F14" s="49">
        <f t="shared" si="7"/>
        <v>55968.800000000003</v>
      </c>
      <c r="G14" s="49">
        <f>SUM(Table3[[#This Row],[1st Quarter]:[4th Quarter2]])</f>
        <v>220496</v>
      </c>
    </row>
    <row r="15" spans="1:7" ht="15.75" thickTop="1" x14ac:dyDescent="0.25">
      <c r="A15" s="9"/>
      <c r="B15" s="36"/>
      <c r="C15" s="36"/>
      <c r="D15" s="36"/>
      <c r="E15" s="36"/>
      <c r="F15" s="36"/>
      <c r="G15" s="36">
        <f>SUM(Table3[[#This Row],[1st Quarter]:[4th Quarter2]])</f>
        <v>0</v>
      </c>
    </row>
    <row r="16" spans="1:7" x14ac:dyDescent="0.25">
      <c r="A16" s="9"/>
      <c r="B16" s="36"/>
      <c r="C16" s="36"/>
      <c r="D16" s="36"/>
      <c r="E16" s="36"/>
      <c r="F16" s="36"/>
      <c r="G16" s="36">
        <f>SUM(Table3[[#This Row],[1st Quarter]:[4th Quarter2]])</f>
        <v>0</v>
      </c>
    </row>
  </sheetData>
  <mergeCells count="1">
    <mergeCell ref="C1:F1"/>
  </mergeCells>
  <pageMargins left="0.7" right="0.7" top="0.75" bottom="0.75" header="0.3" footer="0.3"/>
  <pageSetup paperSize="9" orientation="portrait" r:id="rId1"/>
  <ignoredErrors>
    <ignoredError sqref="B6:B8 B5:E5 B10:B13 B14:F14" calculatedColumn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5" workbookViewId="0">
      <selection activeCell="B6" sqref="B6"/>
    </sheetView>
  </sheetViews>
  <sheetFormatPr defaultRowHeight="15" x14ac:dyDescent="0.25"/>
  <cols>
    <col min="1" max="1" width="57.42578125" style="9" bestFit="1" customWidth="1"/>
    <col min="2" max="2" width="13.28515625" style="9" customWidth="1"/>
    <col min="3" max="3" width="13" style="9" customWidth="1"/>
    <col min="4" max="4" width="13.7109375" style="9" customWidth="1"/>
    <col min="5" max="5" width="13.28515625" style="9" customWidth="1"/>
    <col min="6" max="6" width="14.28515625" style="9" customWidth="1"/>
    <col min="7" max="7" width="12.85546875" style="9" customWidth="1"/>
    <col min="8" max="16384" width="9.140625" style="9"/>
  </cols>
  <sheetData>
    <row r="1" spans="1:7" x14ac:dyDescent="0.25">
      <c r="B1" s="35">
        <v>2007</v>
      </c>
      <c r="C1" s="8">
        <v>2008</v>
      </c>
      <c r="D1" s="8"/>
      <c r="E1" s="8"/>
      <c r="F1" s="8"/>
      <c r="G1" s="29"/>
    </row>
    <row r="2" spans="1:7" x14ac:dyDescent="0.25">
      <c r="A2" s="9" t="s">
        <v>37</v>
      </c>
      <c r="B2" s="29" t="s">
        <v>0</v>
      </c>
      <c r="C2" s="29" t="s">
        <v>1</v>
      </c>
      <c r="D2" s="29" t="s">
        <v>2</v>
      </c>
      <c r="E2" s="29" t="s">
        <v>3</v>
      </c>
      <c r="F2" s="29" t="s">
        <v>38</v>
      </c>
      <c r="G2" s="29" t="s">
        <v>12</v>
      </c>
    </row>
    <row r="3" spans="1:7" x14ac:dyDescent="0.25">
      <c r="A3" s="9" t="s">
        <v>27</v>
      </c>
      <c r="B3" s="36"/>
      <c r="C3" s="36"/>
      <c r="D3" s="36"/>
      <c r="E3" s="36"/>
      <c r="F3" s="36"/>
      <c r="G3" s="36"/>
    </row>
    <row r="4" spans="1:7" x14ac:dyDescent="0.25">
      <c r="A4" s="37" t="s">
        <v>22</v>
      </c>
      <c r="B4" s="36">
        <f>'Production Budget'!B8</f>
        <v>51500</v>
      </c>
      <c r="C4" s="36">
        <f>'Production Budget'!C8</f>
        <v>59225</v>
      </c>
      <c r="D4" s="36">
        <f>'Production Budget'!D8</f>
        <v>68108.800000000003</v>
      </c>
      <c r="E4" s="36">
        <f>'Production Budget'!E8</f>
        <v>78325.399999999994</v>
      </c>
      <c r="F4" s="36">
        <f>'Production Budget'!F8</f>
        <v>69960.800000000003</v>
      </c>
      <c r="G4" s="36">
        <f>SUM(Table2[[#This Row],[1st Quarter]:[4th Quarter]])</f>
        <v>275620</v>
      </c>
    </row>
    <row r="5" spans="1:7" x14ac:dyDescent="0.25">
      <c r="A5" s="37" t="s">
        <v>45</v>
      </c>
      <c r="B5" s="36">
        <v>2</v>
      </c>
      <c r="C5" s="36">
        <v>2</v>
      </c>
      <c r="D5" s="36">
        <v>2</v>
      </c>
      <c r="E5" s="36">
        <v>2</v>
      </c>
      <c r="F5" s="36">
        <v>2</v>
      </c>
      <c r="G5" s="36">
        <v>2</v>
      </c>
    </row>
    <row r="6" spans="1:7" ht="15.75" thickBot="1" x14ac:dyDescent="0.3">
      <c r="A6" s="37" t="s">
        <v>23</v>
      </c>
      <c r="B6" s="49">
        <f>B4*B5</f>
        <v>103000</v>
      </c>
      <c r="C6" s="49">
        <f t="shared" ref="C6:F6" si="0">C4*C5</f>
        <v>118450</v>
      </c>
      <c r="D6" s="49">
        <f t="shared" si="0"/>
        <v>136217.60000000001</v>
      </c>
      <c r="E6" s="49">
        <f t="shared" si="0"/>
        <v>156650.79999999999</v>
      </c>
      <c r="F6" s="49">
        <f t="shared" si="0"/>
        <v>139921.60000000001</v>
      </c>
      <c r="G6" s="49">
        <f>SUM(Table2[[#This Row],[1st Quarter]:[4th Quarter]])</f>
        <v>551240</v>
      </c>
    </row>
    <row r="7" spans="1:7" ht="15.75" thickTop="1" x14ac:dyDescent="0.25">
      <c r="A7" s="37" t="s">
        <v>46</v>
      </c>
      <c r="B7" s="17">
        <f>'Production Budget'!B14</f>
        <v>41200</v>
      </c>
      <c r="C7" s="17">
        <f>'Production Budget'!C14</f>
        <v>47380</v>
      </c>
      <c r="D7" s="17">
        <f>'Production Budget'!D14</f>
        <v>54487</v>
      </c>
      <c r="E7" s="17">
        <f>'Production Budget'!E14</f>
        <v>62660.2</v>
      </c>
      <c r="F7" s="17">
        <f>'Production Budget'!F14</f>
        <v>55968.800000000003</v>
      </c>
      <c r="G7" s="17">
        <f>SUM(Table2[[#This Row],[1st Quarter]:[4th Quarter]])</f>
        <v>220496</v>
      </c>
    </row>
    <row r="8" spans="1:7" x14ac:dyDescent="0.25">
      <c r="A8" s="37" t="s">
        <v>47</v>
      </c>
      <c r="B8" s="50">
        <v>3</v>
      </c>
      <c r="C8" s="36">
        <v>3</v>
      </c>
      <c r="D8" s="36">
        <v>3</v>
      </c>
      <c r="E8" s="50">
        <v>3</v>
      </c>
      <c r="F8" s="50">
        <v>3</v>
      </c>
      <c r="G8" s="36">
        <v>3</v>
      </c>
    </row>
    <row r="9" spans="1:7" ht="15.75" thickBot="1" x14ac:dyDescent="0.3">
      <c r="A9" s="37" t="s">
        <v>68</v>
      </c>
      <c r="B9" s="38">
        <f>B7*B8</f>
        <v>123600</v>
      </c>
      <c r="C9" s="49">
        <f t="shared" ref="C9:F9" si="1">C7*C8</f>
        <v>142140</v>
      </c>
      <c r="D9" s="49">
        <f t="shared" si="1"/>
        <v>163461</v>
      </c>
      <c r="E9" s="20">
        <f t="shared" si="1"/>
        <v>187980.59999999998</v>
      </c>
      <c r="F9" s="38">
        <f t="shared" si="1"/>
        <v>167906.40000000002</v>
      </c>
      <c r="G9" s="49">
        <f>SUM(Table2[[#This Row],[1st Quarter]:[4th Quarter]])</f>
        <v>661488</v>
      </c>
    </row>
    <row r="10" spans="1:7" ht="15.75" thickTop="1" x14ac:dyDescent="0.25">
      <c r="A10" s="37" t="s">
        <v>24</v>
      </c>
      <c r="B10" s="17">
        <f>B6+B9</f>
        <v>226600</v>
      </c>
      <c r="C10" s="17">
        <f t="shared" ref="C10:F10" si="2">C6+C9</f>
        <v>260590</v>
      </c>
      <c r="D10" s="17">
        <f t="shared" si="2"/>
        <v>299678.59999999998</v>
      </c>
      <c r="E10" s="36">
        <f t="shared" si="2"/>
        <v>344631.39999999997</v>
      </c>
      <c r="F10" s="17">
        <f t="shared" si="2"/>
        <v>307828</v>
      </c>
      <c r="G10" s="17">
        <f>SUM(Table2[[#This Row],[1st Quarter]:[4th Quarter]])</f>
        <v>1212728</v>
      </c>
    </row>
    <row r="11" spans="1:7" x14ac:dyDescent="0.25">
      <c r="A11" s="37" t="s">
        <v>48</v>
      </c>
      <c r="B11" s="53">
        <v>2</v>
      </c>
      <c r="C11" s="23">
        <v>2</v>
      </c>
      <c r="D11" s="23">
        <v>2</v>
      </c>
      <c r="E11" s="23">
        <v>2</v>
      </c>
      <c r="F11" s="23">
        <v>2</v>
      </c>
      <c r="G11" s="23">
        <v>2</v>
      </c>
    </row>
    <row r="12" spans="1:7" ht="15.75" thickBot="1" x14ac:dyDescent="0.3">
      <c r="A12" s="37" t="s">
        <v>25</v>
      </c>
      <c r="B12" s="39">
        <f>B10*B11</f>
        <v>453200</v>
      </c>
      <c r="C12" s="32">
        <f t="shared" ref="C12:F12" si="3">C10*C11</f>
        <v>521180</v>
      </c>
      <c r="D12" s="32">
        <f t="shared" si="3"/>
        <v>599357.19999999995</v>
      </c>
      <c r="E12" s="32">
        <f t="shared" si="3"/>
        <v>689262.79999999993</v>
      </c>
      <c r="F12" s="32">
        <f t="shared" si="3"/>
        <v>615656</v>
      </c>
      <c r="G12" s="32">
        <f>SUM(Table2[[#This Row],[1st Quarter]:[4th Quarter]])</f>
        <v>2425456</v>
      </c>
    </row>
    <row r="13" spans="1:7" ht="15.75" thickTop="1" x14ac:dyDescent="0.25">
      <c r="A13" s="9" t="s">
        <v>26</v>
      </c>
      <c r="B13" s="17"/>
      <c r="C13" s="36"/>
      <c r="D13" s="36"/>
      <c r="E13" s="36"/>
      <c r="F13" s="36"/>
      <c r="G13" s="36"/>
    </row>
    <row r="14" spans="1:7" x14ac:dyDescent="0.25">
      <c r="A14" s="37" t="s">
        <v>22</v>
      </c>
      <c r="B14" s="36">
        <f>'Production Budget'!B8</f>
        <v>51500</v>
      </c>
      <c r="C14" s="36">
        <f>'Production Budget'!C8</f>
        <v>59225</v>
      </c>
      <c r="D14" s="36">
        <f>'Production Budget'!D8</f>
        <v>68108.800000000003</v>
      </c>
      <c r="E14" s="36">
        <f>'Production Budget'!E8</f>
        <v>78325.399999999994</v>
      </c>
      <c r="F14" s="36">
        <f>'Production Budget'!F8</f>
        <v>69960.800000000003</v>
      </c>
      <c r="G14" s="36">
        <f>SUM(Table2[[#This Row],[1st Quarter]:[4th Quarter]])</f>
        <v>275620</v>
      </c>
    </row>
    <row r="15" spans="1:7" x14ac:dyDescent="0.25">
      <c r="A15" s="37" t="s">
        <v>49</v>
      </c>
      <c r="B15" s="40">
        <v>0.25</v>
      </c>
      <c r="C15" s="52">
        <v>0.25</v>
      </c>
      <c r="D15" s="52">
        <v>0.25</v>
      </c>
      <c r="E15" s="52">
        <v>0.25</v>
      </c>
      <c r="F15" s="52">
        <v>0.25</v>
      </c>
      <c r="G15" s="40">
        <v>0.25</v>
      </c>
    </row>
    <row r="16" spans="1:7" ht="15.75" thickBot="1" x14ac:dyDescent="0.3">
      <c r="A16" s="37" t="s">
        <v>23</v>
      </c>
      <c r="B16" s="49">
        <f>B14*B15</f>
        <v>12875</v>
      </c>
      <c r="C16" s="20">
        <f t="shared" ref="C16:F16" si="4">C14*C15</f>
        <v>14806.25</v>
      </c>
      <c r="D16" s="20">
        <f t="shared" si="4"/>
        <v>17027.2</v>
      </c>
      <c r="E16" s="20">
        <f t="shared" si="4"/>
        <v>19581.349999999999</v>
      </c>
      <c r="F16" s="20">
        <f t="shared" si="4"/>
        <v>17490.2</v>
      </c>
      <c r="G16" s="49">
        <f>SUM(Table2[[#This Row],[1st Quarter]:[4th Quarter]])</f>
        <v>68905</v>
      </c>
    </row>
    <row r="17" spans="1:7" ht="15.75" thickTop="1" x14ac:dyDescent="0.25">
      <c r="A17" s="37" t="s">
        <v>46</v>
      </c>
      <c r="B17" s="17">
        <f>'Production Budget'!B14</f>
        <v>41200</v>
      </c>
      <c r="C17" s="36">
        <f>'Production Budget'!C14</f>
        <v>47380</v>
      </c>
      <c r="D17" s="36">
        <f>'Production Budget'!D14</f>
        <v>54487</v>
      </c>
      <c r="E17" s="36">
        <f>'Production Budget'!E14</f>
        <v>62660.2</v>
      </c>
      <c r="F17" s="36">
        <f>'Production Budget'!F14</f>
        <v>55968.800000000003</v>
      </c>
      <c r="G17" s="17">
        <f>SUM(Table2[[#This Row],[1st Quarter]:[4th Quarter]])</f>
        <v>220496</v>
      </c>
    </row>
    <row r="18" spans="1:7" x14ac:dyDescent="0.25">
      <c r="A18" s="37" t="s">
        <v>50</v>
      </c>
      <c r="B18" s="41">
        <v>0.5</v>
      </c>
      <c r="C18" s="51">
        <v>0.5</v>
      </c>
      <c r="D18" s="41">
        <v>0.5</v>
      </c>
      <c r="E18" s="41">
        <v>0.5</v>
      </c>
      <c r="F18" s="41">
        <v>0.5</v>
      </c>
      <c r="G18" s="41">
        <v>0.5</v>
      </c>
    </row>
    <row r="19" spans="1:7" ht="15.75" thickBot="1" x14ac:dyDescent="0.3">
      <c r="A19" s="37" t="s">
        <v>68</v>
      </c>
      <c r="B19" s="49">
        <f>B17*B18</f>
        <v>20600</v>
      </c>
      <c r="C19" s="20">
        <f t="shared" ref="C19:F19" si="5">C17*C18</f>
        <v>23690</v>
      </c>
      <c r="D19" s="49">
        <f t="shared" si="5"/>
        <v>27243.5</v>
      </c>
      <c r="E19" s="49">
        <f t="shared" si="5"/>
        <v>31330.1</v>
      </c>
      <c r="F19" s="49">
        <f t="shared" si="5"/>
        <v>27984.400000000001</v>
      </c>
      <c r="G19" s="49"/>
    </row>
    <row r="20" spans="1:7" ht="15.75" thickTop="1" x14ac:dyDescent="0.25">
      <c r="A20" s="37" t="s">
        <v>28</v>
      </c>
      <c r="B20" s="17">
        <f>B16+B19</f>
        <v>33475</v>
      </c>
      <c r="C20" s="36">
        <f t="shared" ref="C20:F20" si="6">C16+C19</f>
        <v>38496.25</v>
      </c>
      <c r="D20" s="36">
        <f t="shared" si="6"/>
        <v>44270.7</v>
      </c>
      <c r="E20" s="36">
        <f t="shared" si="6"/>
        <v>50911.45</v>
      </c>
      <c r="F20" s="36">
        <f t="shared" si="6"/>
        <v>45474.600000000006</v>
      </c>
      <c r="G20" s="17">
        <f>SUM(Table2[[#This Row],[1st Quarter]:[4th Quarter]])</f>
        <v>179153</v>
      </c>
    </row>
    <row r="21" spans="1:7" x14ac:dyDescent="0.25">
      <c r="A21" s="42" t="s">
        <v>29</v>
      </c>
      <c r="B21" s="36">
        <f>('Sales Budget'!C3*20%*B15)+('Sales Budget'!C6*20%*B18)</f>
        <v>7475</v>
      </c>
      <c r="C21" s="50">
        <f>('Sales Budget'!D3*20%*C15)+('Sales Budget'!D6*20%*C18)</f>
        <v>8596.25</v>
      </c>
      <c r="D21" s="50">
        <f>('Sales Budget'!E3*20%*D15)+('Sales Budget'!E6*20%*D18)</f>
        <v>9885.7000000000007</v>
      </c>
      <c r="E21" s="36">
        <f>('Sales Budget'!F3*20%*E15)+('Sales Budget'!F6*20%*E18)</f>
        <v>11368.650000000001</v>
      </c>
      <c r="F21" s="36">
        <v>10400</v>
      </c>
      <c r="G21" s="36">
        <v>10400</v>
      </c>
    </row>
    <row r="22" spans="1:7" x14ac:dyDescent="0.25">
      <c r="A22" s="43" t="s">
        <v>30</v>
      </c>
      <c r="B22" s="22">
        <f>SUM(B20:B21)</f>
        <v>40950</v>
      </c>
      <c r="C22" s="38">
        <f t="shared" ref="C22:F22" si="7">SUM(C20:C21)</f>
        <v>47092.5</v>
      </c>
      <c r="D22" s="22">
        <f t="shared" si="7"/>
        <v>54156.399999999994</v>
      </c>
      <c r="E22" s="22">
        <f t="shared" si="7"/>
        <v>62280.1</v>
      </c>
      <c r="F22" s="22">
        <f t="shared" si="7"/>
        <v>55874.600000000006</v>
      </c>
      <c r="G22" s="22">
        <f>SUM(Table2[[#This Row],[1st Quarter]:[4th Quarter]])</f>
        <v>219403.6</v>
      </c>
    </row>
    <row r="23" spans="1:7" x14ac:dyDescent="0.25">
      <c r="A23" s="42" t="s">
        <v>31</v>
      </c>
      <c r="B23" s="50">
        <f>('Sales Budget'!B3*20%*0.25)+('Sales Budget'!B6*20%*0.5)</f>
        <v>6500</v>
      </c>
      <c r="C23" s="50">
        <f>('Sales Budget'!C3*20%*0.25)+('Sales Budget'!C6*20%*0.5)</f>
        <v>7475</v>
      </c>
      <c r="D23" s="50">
        <f>('Sales Budget'!D3*20%*0.25)+('Sales Budget'!D6*20%*0.5)</f>
        <v>8596.25</v>
      </c>
      <c r="E23" s="50">
        <f>('Sales Budget'!E3*20%*0.25)+('Sales Budget'!E6*20%*0.5)</f>
        <v>9885.7000000000007</v>
      </c>
      <c r="F23" s="50">
        <f>('Sales Budget'!F3*20%*0.25)+('Sales Budget'!F6*20%*0.5)</f>
        <v>11368.650000000001</v>
      </c>
      <c r="G23" s="50"/>
    </row>
    <row r="24" spans="1:7" ht="15.75" thickBot="1" x14ac:dyDescent="0.3">
      <c r="A24" s="43" t="s">
        <v>32</v>
      </c>
      <c r="B24" s="20">
        <f>B22-B23</f>
        <v>34450</v>
      </c>
      <c r="C24" s="20">
        <f t="shared" ref="C24:F24" si="8">C22-C23</f>
        <v>39617.5</v>
      </c>
      <c r="D24" s="20">
        <f t="shared" si="8"/>
        <v>45560.149999999994</v>
      </c>
      <c r="E24" s="49">
        <f t="shared" si="8"/>
        <v>52394.399999999994</v>
      </c>
      <c r="F24" s="49">
        <f t="shared" si="8"/>
        <v>44505.950000000004</v>
      </c>
      <c r="G24" s="49">
        <v>44506</v>
      </c>
    </row>
    <row r="25" spans="1:7" ht="15.75" thickTop="1" x14ac:dyDescent="0.25">
      <c r="A25" s="44" t="s">
        <v>33</v>
      </c>
      <c r="B25" s="47">
        <v>10</v>
      </c>
      <c r="C25" s="45">
        <v>10</v>
      </c>
      <c r="D25" s="45">
        <v>10</v>
      </c>
      <c r="E25" s="45">
        <v>10</v>
      </c>
      <c r="F25" s="47">
        <v>10</v>
      </c>
      <c r="G25" s="47">
        <v>10</v>
      </c>
    </row>
    <row r="26" spans="1:7" ht="15.75" thickBot="1" x14ac:dyDescent="0.3">
      <c r="A26" s="44" t="s">
        <v>34</v>
      </c>
      <c r="B26" s="46">
        <f>B24*B25</f>
        <v>344500</v>
      </c>
      <c r="C26" s="48">
        <f t="shared" ref="C26:F26" si="9">C24*C25</f>
        <v>396175</v>
      </c>
      <c r="D26" s="48">
        <f t="shared" si="9"/>
        <v>455601.49999999994</v>
      </c>
      <c r="E26" s="48">
        <f t="shared" si="9"/>
        <v>523943.99999999994</v>
      </c>
      <c r="F26" s="46">
        <f t="shared" si="9"/>
        <v>445059.50000000006</v>
      </c>
      <c r="G26" s="46">
        <f>SUM(Table2[[#This Row],[1st Quarter]:[4th Quarter]])</f>
        <v>1820780</v>
      </c>
    </row>
    <row r="27" spans="1:7" ht="16.5" thickTop="1" thickBot="1" x14ac:dyDescent="0.3">
      <c r="A27" s="13" t="s">
        <v>35</v>
      </c>
      <c r="B27" s="27">
        <f>B12+B26</f>
        <v>797700</v>
      </c>
      <c r="C27" s="27">
        <f t="shared" ref="C27:F27" si="10">C12+C26</f>
        <v>917355</v>
      </c>
      <c r="D27" s="27">
        <f t="shared" si="10"/>
        <v>1054958.7</v>
      </c>
      <c r="E27" s="46">
        <f t="shared" si="10"/>
        <v>1213206.7999999998</v>
      </c>
      <c r="F27" s="27">
        <f t="shared" si="10"/>
        <v>1060715.5</v>
      </c>
      <c r="G27" s="27">
        <f>SUM(Table2[[#This Row],[1st Quarter]:[4th Quarter]])</f>
        <v>4246236</v>
      </c>
    </row>
    <row r="28" spans="1:7" ht="15.75" thickTop="1" x14ac:dyDescent="0.25">
      <c r="B28" s="17"/>
      <c r="C28" s="17"/>
      <c r="D28" s="17"/>
      <c r="E28" s="17"/>
      <c r="F28" s="17"/>
      <c r="G28" s="17"/>
    </row>
    <row r="29" spans="1:7" x14ac:dyDescent="0.25">
      <c r="B29" s="36"/>
      <c r="C29" s="36"/>
      <c r="D29" s="36"/>
      <c r="E29" s="36"/>
      <c r="F29" s="36"/>
      <c r="G29" s="36"/>
    </row>
  </sheetData>
  <mergeCells count="1">
    <mergeCell ref="C1:F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C21" sqref="C21"/>
    </sheetView>
  </sheetViews>
  <sheetFormatPr defaultRowHeight="15" x14ac:dyDescent="0.25"/>
  <cols>
    <col min="1" max="1" width="56.140625" bestFit="1" customWidth="1"/>
    <col min="2" max="2" width="13" customWidth="1"/>
    <col min="3" max="3" width="13.7109375" customWidth="1"/>
    <col min="4" max="5" width="13.28515625" customWidth="1"/>
    <col min="6" max="6" width="12.85546875" customWidth="1"/>
  </cols>
  <sheetData>
    <row r="1" spans="1:6" x14ac:dyDescent="0.25">
      <c r="B1" s="8">
        <v>2008</v>
      </c>
      <c r="C1" s="8"/>
      <c r="D1" s="8"/>
      <c r="E1" s="8"/>
      <c r="F1" s="29"/>
    </row>
    <row r="2" spans="1:6" x14ac:dyDescent="0.25">
      <c r="A2" t="s">
        <v>36</v>
      </c>
      <c r="B2" s="29" t="s">
        <v>1</v>
      </c>
      <c r="C2" s="29" t="s">
        <v>2</v>
      </c>
      <c r="D2" s="29" t="s">
        <v>3</v>
      </c>
      <c r="E2" s="29" t="s">
        <v>38</v>
      </c>
      <c r="F2" s="29" t="s">
        <v>12</v>
      </c>
    </row>
    <row r="3" spans="1:6" x14ac:dyDescent="0.25">
      <c r="A3" t="s">
        <v>39</v>
      </c>
    </row>
    <row r="4" spans="1:6" x14ac:dyDescent="0.25">
      <c r="A4" s="15" t="s">
        <v>40</v>
      </c>
      <c r="B4" s="18">
        <f>('Direct Materials Budget'!C27*80%)</f>
        <v>733884</v>
      </c>
      <c r="C4" s="18">
        <f>('Direct Materials Budget'!D27*80%)</f>
        <v>843966.96</v>
      </c>
      <c r="D4" s="18">
        <f>('Direct Materials Budget'!E27*80%)</f>
        <v>970565.44</v>
      </c>
      <c r="E4" s="18">
        <f>('Direct Materials Budget'!F27*80%)</f>
        <v>848572.4</v>
      </c>
      <c r="F4" s="18"/>
    </row>
    <row r="5" spans="1:6" x14ac:dyDescent="0.25">
      <c r="A5" s="15" t="s">
        <v>41</v>
      </c>
      <c r="B5" s="18">
        <f>('Direct Materials Budget'!B27*20%)</f>
        <v>159540</v>
      </c>
      <c r="C5" s="18">
        <f>('Direct Materials Budget'!C27*20%)</f>
        <v>183471</v>
      </c>
      <c r="D5" s="18">
        <f>('Direct Materials Budget'!D27*20%)</f>
        <v>210991.74</v>
      </c>
      <c r="E5" s="18">
        <f>('Direct Materials Budget'!E27*20%)</f>
        <v>242641.36</v>
      </c>
    </row>
    <row r="6" spans="1:6" ht="15.75" thickBot="1" x14ac:dyDescent="0.3">
      <c r="A6" s="15" t="s">
        <v>53</v>
      </c>
      <c r="B6" s="32">
        <f>SUM(B4:B5)</f>
        <v>893424</v>
      </c>
      <c r="C6" s="32">
        <f t="shared" ref="C6:E6" si="0">SUM(C4:C5)</f>
        <v>1027437.96</v>
      </c>
      <c r="D6" s="32">
        <f t="shared" si="0"/>
        <v>1181557.18</v>
      </c>
      <c r="E6" s="32">
        <f t="shared" si="0"/>
        <v>1091213.76</v>
      </c>
      <c r="F6" s="32">
        <f>SUM(B6:E6)</f>
        <v>4193632.8999999994</v>
      </c>
    </row>
    <row r="7" spans="1:6" ht="15.75" thickTop="1" x14ac:dyDescent="0.25">
      <c r="A7" s="16" t="s">
        <v>42</v>
      </c>
      <c r="C7" s="4"/>
      <c r="D7" s="4"/>
    </row>
    <row r="8" spans="1:6" x14ac:dyDescent="0.25">
      <c r="A8" s="15" t="s">
        <v>43</v>
      </c>
      <c r="B8" s="14">
        <f>Table3[[#This Row],[1st Quarter]]+'Production Budget'!C14</f>
        <v>106605</v>
      </c>
      <c r="C8" s="14">
        <f>Table3[[#This Row],[2nd Quarter]]+'Production Budget'!D14</f>
        <v>122595.8</v>
      </c>
      <c r="D8" s="14">
        <f>Table3[[#This Row],[3rd Quarter]]+'Production Budget'!E14</f>
        <v>140985.59999999998</v>
      </c>
      <c r="E8" s="14">
        <f>Table3[[#This Row],[4th Quarter2]]+'Production Budget'!F14</f>
        <v>125929.60000000001</v>
      </c>
    </row>
    <row r="9" spans="1:6" x14ac:dyDescent="0.25">
      <c r="A9" s="15" t="s">
        <v>44</v>
      </c>
      <c r="B9">
        <v>0.2</v>
      </c>
      <c r="C9">
        <v>0.2</v>
      </c>
      <c r="D9">
        <v>0.2</v>
      </c>
      <c r="E9">
        <v>0.2</v>
      </c>
    </row>
    <row r="10" spans="1:6" x14ac:dyDescent="0.25">
      <c r="A10" s="15" t="s">
        <v>51</v>
      </c>
      <c r="B10">
        <f>B8*B9</f>
        <v>21321</v>
      </c>
      <c r="C10">
        <f t="shared" ref="C10:E10" si="1">C8*C9</f>
        <v>24519.160000000003</v>
      </c>
      <c r="D10">
        <f t="shared" si="1"/>
        <v>28197.119999999995</v>
      </c>
      <c r="E10">
        <f t="shared" si="1"/>
        <v>25185.920000000002</v>
      </c>
    </row>
    <row r="11" spans="1:6" x14ac:dyDescent="0.25">
      <c r="A11" s="15" t="s">
        <v>52</v>
      </c>
      <c r="B11" s="28">
        <v>8</v>
      </c>
      <c r="C11" s="28">
        <v>8</v>
      </c>
      <c r="D11" s="28">
        <v>8</v>
      </c>
      <c r="E11" s="30">
        <v>8</v>
      </c>
    </row>
    <row r="12" spans="1:6" ht="15.75" thickBot="1" x14ac:dyDescent="0.3">
      <c r="A12" s="15" t="s">
        <v>54</v>
      </c>
      <c r="B12" s="33">
        <f>B10*B11</f>
        <v>170568</v>
      </c>
      <c r="C12" s="33">
        <f t="shared" ref="C12:E12" si="2">C10*C11</f>
        <v>196153.28000000003</v>
      </c>
      <c r="D12" s="33">
        <f t="shared" si="2"/>
        <v>225576.95999999996</v>
      </c>
      <c r="E12" s="34">
        <f t="shared" si="2"/>
        <v>201487.36000000002</v>
      </c>
      <c r="F12" s="33">
        <f>SUM(B12:E12)</f>
        <v>793785.6</v>
      </c>
    </row>
    <row r="13" spans="1:6" ht="15.75" thickTop="1" x14ac:dyDescent="0.25">
      <c r="A13" t="s">
        <v>61</v>
      </c>
      <c r="B13" s="4"/>
      <c r="C13" s="4"/>
    </row>
    <row r="14" spans="1:6" x14ac:dyDescent="0.25">
      <c r="A14" s="15" t="s">
        <v>55</v>
      </c>
      <c r="B14" s="28">
        <v>10200</v>
      </c>
      <c r="C14" s="28">
        <f>B14*115%</f>
        <v>11730</v>
      </c>
      <c r="D14" s="28">
        <f t="shared" ref="D14:E14" si="3">C14*115%</f>
        <v>13489.499999999998</v>
      </c>
      <c r="E14" s="28">
        <f t="shared" si="3"/>
        <v>15512.924999999997</v>
      </c>
    </row>
    <row r="15" spans="1:6" x14ac:dyDescent="0.25">
      <c r="A15" s="15" t="s">
        <v>56</v>
      </c>
      <c r="B15" s="28">
        <v>40800</v>
      </c>
      <c r="C15" s="28">
        <f>B15*115%</f>
        <v>46920</v>
      </c>
      <c r="D15" s="28">
        <f t="shared" ref="D15:E15" si="4">C15*115%</f>
        <v>53957.999999999993</v>
      </c>
      <c r="E15" s="28">
        <f t="shared" si="4"/>
        <v>62051.69999999999</v>
      </c>
    </row>
    <row r="16" spans="1:6" x14ac:dyDescent="0.25">
      <c r="A16" s="15" t="s">
        <v>57</v>
      </c>
      <c r="B16" s="30">
        <v>51000</v>
      </c>
      <c r="C16" s="28">
        <f>B16*110%</f>
        <v>56100.000000000007</v>
      </c>
      <c r="D16" s="30">
        <f t="shared" ref="D16:E16" si="5">C16*110%</f>
        <v>61710.000000000015</v>
      </c>
      <c r="E16" s="28">
        <f t="shared" si="5"/>
        <v>67881.000000000015</v>
      </c>
      <c r="F16" s="19"/>
    </row>
    <row r="17" spans="1:6" x14ac:dyDescent="0.25">
      <c r="A17" s="15" t="s">
        <v>58</v>
      </c>
      <c r="B17" s="54">
        <f>SUM(B14:B16)</f>
        <v>102000</v>
      </c>
      <c r="C17" s="55">
        <f t="shared" ref="C17:D17" si="6">SUM(C14:C16)</f>
        <v>114750</v>
      </c>
      <c r="D17" s="56">
        <f t="shared" si="6"/>
        <v>129157.5</v>
      </c>
      <c r="E17" s="55">
        <f>SUM(E14:E16)</f>
        <v>145445.625</v>
      </c>
      <c r="F17" s="55">
        <f>SUM(B17:E17)</f>
        <v>491353.125</v>
      </c>
    </row>
    <row r="18" spans="1:6" x14ac:dyDescent="0.25">
      <c r="A18" t="s">
        <v>59</v>
      </c>
      <c r="B18" s="30">
        <v>90000</v>
      </c>
      <c r="C18" s="30">
        <f>B18*105%</f>
        <v>94500</v>
      </c>
      <c r="D18" s="30">
        <f>C18*105%</f>
        <v>99225</v>
      </c>
      <c r="E18" s="30">
        <f>D18*105%</f>
        <v>104186.25</v>
      </c>
      <c r="F18" s="30">
        <f t="shared" ref="F18:F19" si="7">SUM(B18:E18)</f>
        <v>387911.25</v>
      </c>
    </row>
    <row r="19" spans="1:6" ht="15.75" thickBot="1" x14ac:dyDescent="0.3">
      <c r="A19" t="s">
        <v>60</v>
      </c>
      <c r="B19" s="33">
        <f>SUM(B17:B18)</f>
        <v>192000</v>
      </c>
      <c r="C19" s="33">
        <f t="shared" ref="C19:D19" si="8">SUM(C17:C18)</f>
        <v>209250</v>
      </c>
      <c r="D19" s="33">
        <f t="shared" si="8"/>
        <v>228382.5</v>
      </c>
      <c r="E19" s="33">
        <f>SUM(E17:E18)</f>
        <v>249631.875</v>
      </c>
      <c r="F19" s="34">
        <f t="shared" si="7"/>
        <v>879264.375</v>
      </c>
    </row>
    <row r="20" spans="1:6" ht="15.75" thickTop="1" x14ac:dyDescent="0.25">
      <c r="B20" s="4"/>
      <c r="E20" s="4"/>
    </row>
  </sheetData>
  <mergeCells count="1">
    <mergeCell ref="B1:E1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Sales Budget</vt:lpstr>
      <vt:lpstr>Cash Receipts Budget</vt:lpstr>
      <vt:lpstr>Production Budget</vt:lpstr>
      <vt:lpstr>Direct Materials Budget</vt:lpstr>
      <vt:lpstr>Cash Disbursements Budget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2014-05-01T00:24:48Z</dcterms:created>
  <dcterms:modified xsi:type="dcterms:W3CDTF">2014-05-01T04:12:39Z</dcterms:modified>
</cp:coreProperties>
</file>